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filterPrivacy="1" defaultThemeVersion="124226"/>
  <xr:revisionPtr revIDLastSave="0" documentId="13_ncr:1_{40BB888F-83A5-4393-BE9C-E080B727233A}" xr6:coauthVersionLast="45" xr6:coauthVersionMax="45" xr10:uidLastSave="{00000000-0000-0000-0000-000000000000}"/>
  <bookViews>
    <workbookView xWindow="-120" yWindow="-120" windowWidth="19440" windowHeight="15000" tabRatio="884" firstSheet="4" activeTab="5" xr2:uid="{00000000-000D-0000-FFFF-FFFF00000000}"/>
  </bookViews>
  <sheets>
    <sheet name="Титульна сторінка" sheetId="8" r:id="rId1"/>
    <sheet name="7. Потужність приєднання" sheetId="7" r:id="rId2"/>
    <sheet name="18. Технічний стан сценарій 1" sheetId="20" r:id="rId3"/>
    <sheet name="18. Технічний стан сценарій (2" sheetId="21" r:id="rId4"/>
    <sheet name="19. Незавершене будівництво" sheetId="25" r:id="rId5"/>
    <sheet name="20. План інвестицій " sheetId="24" r:id="rId6"/>
    <sheet name="ТЕО" sheetId="12" r:id="rId7"/>
    <sheet name="21 Перелік заходів сценарій 1" sheetId="14" r:id="rId8"/>
    <sheet name="21. Перелік заходів сценарій 2" sheetId="15" r:id="rId9"/>
    <sheet name="ТКО" sheetId="23" r:id="rId10"/>
  </sheets>
  <definedNames>
    <definedName name="_xlnm._FilterDatabase" localSheetId="3" hidden="1">'18. Технічний стан сценарій (2'!$A$6:$K$103</definedName>
    <definedName name="_xlnm._FilterDatabase" localSheetId="2" hidden="1">'18. Технічний стан сценарій 1'!$A$6:$O$103</definedName>
    <definedName name="_xlnm._FilterDatabase" localSheetId="7" hidden="1">'21 Перелік заходів сценарій 1'!$A$50:$Z$98</definedName>
    <definedName name="_xlnm._FilterDatabase" localSheetId="8" hidden="1">'21. Перелік заходів сценарій 2'!$A$5:$Y$114</definedName>
    <definedName name="_xlnm.Print_Titles" localSheetId="7">'21 Перелік заходів сценарій 1'!$2:$5</definedName>
    <definedName name="_xlnm.Print_Titles" localSheetId="8">'21. Перелік заходів сценарій 2'!$2:$5</definedName>
    <definedName name="_xlnm.Print_Area" localSheetId="3">'18. Технічний стан сценарій (2'!$A$1:$J$107</definedName>
    <definedName name="_xlnm.Print_Area" localSheetId="2">'18. Технічний стан сценарій 1'!$A$1:$J$107</definedName>
    <definedName name="_xlnm.Print_Area" localSheetId="4">'19. Незавершене будівництво'!$A$1:$I$47</definedName>
    <definedName name="_xlnm.Print_Area" localSheetId="5">'20. План інвестицій '!$A$1:$K$39</definedName>
    <definedName name="_xlnm.Print_Area" localSheetId="7">'21 Перелік заходів сценарій 1'!$A$1:$W$114</definedName>
    <definedName name="_xlnm.Print_Area" localSheetId="8">'21. Перелік заходів сценарій 2'!$A$1:$W$128</definedName>
    <definedName name="_xlnm.Print_Area" localSheetId="0">'Титульна сторінка'!$A:$G</definedName>
  </definedNames>
  <calcPr calcId="191029"/>
</workbook>
</file>

<file path=xl/calcChain.xml><?xml version="1.0" encoding="utf-8"?>
<calcChain xmlns="http://schemas.openxmlformats.org/spreadsheetml/2006/main">
  <c r="M106" i="15" l="1"/>
  <c r="N106" i="15"/>
  <c r="O106" i="15"/>
  <c r="P106" i="15"/>
  <c r="L106" i="15"/>
  <c r="E110" i="15" l="1"/>
  <c r="E109" i="15"/>
  <c r="D101" i="15" l="1"/>
  <c r="F85" i="21" l="1"/>
  <c r="F84" i="21"/>
  <c r="G84" i="21" s="1"/>
  <c r="H84" i="21" s="1"/>
  <c r="I84" i="21" s="1"/>
  <c r="J84" i="21" s="1"/>
  <c r="D83" i="21"/>
  <c r="F82" i="21"/>
  <c r="G82" i="21" s="1"/>
  <c r="E82" i="21"/>
  <c r="F64" i="21"/>
  <c r="G63" i="21"/>
  <c r="H63" i="21" s="1"/>
  <c r="I63" i="21" s="1"/>
  <c r="J63" i="21" s="1"/>
  <c r="F63" i="21"/>
  <c r="D62" i="21"/>
  <c r="F61" i="21"/>
  <c r="F62" i="21" s="1"/>
  <c r="E61" i="21"/>
  <c r="F58" i="21"/>
  <c r="F57" i="21"/>
  <c r="G57" i="21" s="1"/>
  <c r="H57" i="21" s="1"/>
  <c r="I57" i="21" s="1"/>
  <c r="J57" i="21" s="1"/>
  <c r="F56" i="21"/>
  <c r="D56" i="21"/>
  <c r="F55" i="21"/>
  <c r="G55" i="21" s="1"/>
  <c r="H55" i="21" s="1"/>
  <c r="E55" i="21"/>
  <c r="F34" i="21"/>
  <c r="F33" i="21"/>
  <c r="G33" i="21" s="1"/>
  <c r="H33" i="21" s="1"/>
  <c r="I33" i="21" s="1"/>
  <c r="J33" i="21" s="1"/>
  <c r="D32" i="21"/>
  <c r="G31" i="21"/>
  <c r="G32" i="21" s="1"/>
  <c r="F31" i="21"/>
  <c r="F32" i="21" s="1"/>
  <c r="E31" i="21"/>
  <c r="F28" i="21"/>
  <c r="F27" i="21"/>
  <c r="G27" i="21" s="1"/>
  <c r="D26" i="21"/>
  <c r="G25" i="21"/>
  <c r="H25" i="21" s="1"/>
  <c r="F25" i="21"/>
  <c r="E25" i="21"/>
  <c r="F85" i="20"/>
  <c r="F84" i="20"/>
  <c r="G84" i="20" s="1"/>
  <c r="H84" i="20" s="1"/>
  <c r="I84" i="20" s="1"/>
  <c r="J84" i="20" s="1"/>
  <c r="D83" i="20"/>
  <c r="F82" i="20"/>
  <c r="F83" i="20" s="1"/>
  <c r="E82" i="20"/>
  <c r="F64" i="20"/>
  <c r="F63" i="20"/>
  <c r="G63" i="20" s="1"/>
  <c r="H63" i="20" s="1"/>
  <c r="I63" i="20" s="1"/>
  <c r="J63" i="20" s="1"/>
  <c r="D62" i="20"/>
  <c r="F61" i="20"/>
  <c r="F62" i="20" s="1"/>
  <c r="E61" i="20"/>
  <c r="F58" i="20"/>
  <c r="F57" i="20"/>
  <c r="G57" i="20" s="1"/>
  <c r="H57" i="20" s="1"/>
  <c r="I57" i="20" s="1"/>
  <c r="J57" i="20" s="1"/>
  <c r="D56" i="20"/>
  <c r="G55" i="20"/>
  <c r="G56" i="20" s="1"/>
  <c r="F55" i="20"/>
  <c r="F56" i="20" s="1"/>
  <c r="E55" i="20"/>
  <c r="F34" i="20"/>
  <c r="F33" i="20"/>
  <c r="G33" i="20" s="1"/>
  <c r="D32" i="20"/>
  <c r="E31" i="20"/>
  <c r="F28" i="20"/>
  <c r="F27" i="20"/>
  <c r="G27" i="20" s="1"/>
  <c r="H27" i="20" s="1"/>
  <c r="I27" i="20" s="1"/>
  <c r="J27" i="20" s="1"/>
  <c r="D26" i="20"/>
  <c r="G25" i="20"/>
  <c r="F25" i="20"/>
  <c r="F26" i="20" s="1"/>
  <c r="E25" i="20"/>
  <c r="G61" i="20" l="1"/>
  <c r="G62" i="20" s="1"/>
  <c r="F83" i="21"/>
  <c r="F26" i="21"/>
  <c r="G61" i="21"/>
  <c r="G62" i="21" s="1"/>
  <c r="G83" i="21"/>
  <c r="H82" i="21"/>
  <c r="H61" i="21"/>
  <c r="H56" i="21"/>
  <c r="I55" i="21"/>
  <c r="G56" i="21"/>
  <c r="H31" i="21"/>
  <c r="H26" i="21"/>
  <c r="I25" i="21"/>
  <c r="G26" i="21"/>
  <c r="H27" i="21"/>
  <c r="I27" i="21" s="1"/>
  <c r="J27" i="21" s="1"/>
  <c r="G82" i="20"/>
  <c r="H61" i="20"/>
  <c r="H55" i="20"/>
  <c r="G32" i="20"/>
  <c r="H33" i="20"/>
  <c r="F32" i="20"/>
  <c r="G26" i="20"/>
  <c r="H25" i="20"/>
  <c r="H83" i="21" l="1"/>
  <c r="I82" i="21"/>
  <c r="H62" i="21"/>
  <c r="I61" i="21"/>
  <c r="J55" i="21"/>
  <c r="J56" i="21" s="1"/>
  <c r="I56" i="21"/>
  <c r="H32" i="21"/>
  <c r="I31" i="21"/>
  <c r="J25" i="21"/>
  <c r="J26" i="21" s="1"/>
  <c r="I26" i="21"/>
  <c r="H82" i="20"/>
  <c r="G83" i="20"/>
  <c r="H62" i="20"/>
  <c r="I61" i="20"/>
  <c r="H56" i="20"/>
  <c r="I55" i="20"/>
  <c r="H32" i="20"/>
  <c r="I33" i="20"/>
  <c r="H26" i="20"/>
  <c r="I25" i="20"/>
  <c r="J82" i="21" l="1"/>
  <c r="J83" i="21" s="1"/>
  <c r="I83" i="21"/>
  <c r="J61" i="21"/>
  <c r="J62" i="21" s="1"/>
  <c r="I62" i="21"/>
  <c r="J31" i="21"/>
  <c r="J32" i="21" s="1"/>
  <c r="I32" i="21"/>
  <c r="I82" i="20"/>
  <c r="H83" i="20"/>
  <c r="J61" i="20"/>
  <c r="J62" i="20" s="1"/>
  <c r="I62" i="20"/>
  <c r="J55" i="20"/>
  <c r="J56" i="20" s="1"/>
  <c r="I56" i="20"/>
  <c r="J33" i="20"/>
  <c r="J32" i="20" s="1"/>
  <c r="I32" i="20"/>
  <c r="J25" i="20"/>
  <c r="J26" i="20" s="1"/>
  <c r="I26" i="20"/>
  <c r="J82" i="20" l="1"/>
  <c r="J83" i="20" s="1"/>
  <c r="I83" i="20"/>
  <c r="H21" i="20" l="1"/>
  <c r="I21" i="20" s="1"/>
  <c r="G21" i="20"/>
  <c r="M86" i="14" l="1"/>
  <c r="L73" i="14" l="1"/>
  <c r="L67" i="14" l="1"/>
  <c r="F49" i="21" l="1"/>
  <c r="G49" i="21"/>
  <c r="H49" i="21"/>
  <c r="I49" i="21"/>
  <c r="J49" i="21"/>
  <c r="E49" i="21"/>
  <c r="F19" i="21"/>
  <c r="J13" i="21"/>
  <c r="I13" i="21"/>
  <c r="F98" i="20"/>
  <c r="F96" i="20" s="1"/>
  <c r="H49" i="20"/>
  <c r="I49" i="20"/>
  <c r="J49" i="20"/>
  <c r="G49" i="20"/>
  <c r="F19" i="20"/>
  <c r="G19" i="20" s="1"/>
  <c r="H19" i="20" s="1"/>
  <c r="F21" i="20"/>
  <c r="I20" i="20" l="1"/>
  <c r="J21" i="20"/>
  <c r="J20" i="20" s="1"/>
  <c r="E32" i="25" l="1"/>
  <c r="E11" i="14" l="1"/>
  <c r="N86" i="14" l="1"/>
  <c r="O86" i="14"/>
  <c r="P86" i="14"/>
  <c r="M10" i="14" l="1"/>
  <c r="H27" i="24"/>
  <c r="H25" i="24"/>
  <c r="H24" i="24"/>
  <c r="H23" i="24"/>
  <c r="G22" i="24"/>
  <c r="F22" i="24"/>
  <c r="E22" i="24"/>
  <c r="D22" i="24"/>
  <c r="C22" i="24"/>
  <c r="G21" i="24"/>
  <c r="H11" i="24"/>
  <c r="H9" i="24"/>
  <c r="H8" i="24"/>
  <c r="H7" i="24"/>
  <c r="G6" i="24"/>
  <c r="F6" i="24"/>
  <c r="E6" i="24"/>
  <c r="D6" i="24"/>
  <c r="C6" i="24"/>
  <c r="D5" i="24" l="1"/>
  <c r="E5" i="24"/>
  <c r="C21" i="24"/>
  <c r="D21" i="24"/>
  <c r="G5" i="24"/>
  <c r="F5" i="24"/>
  <c r="F21" i="24"/>
  <c r="E21" i="24"/>
  <c r="H6" i="24"/>
  <c r="C5" i="24"/>
  <c r="H22" i="24"/>
  <c r="H21" i="24" l="1"/>
  <c r="H5" i="24"/>
  <c r="D29" i="14"/>
  <c r="L29" i="14"/>
  <c r="M29" i="14"/>
  <c r="N29" i="14"/>
  <c r="P29" i="14"/>
  <c r="C29" i="14"/>
  <c r="L86" i="14"/>
  <c r="E91" i="14" l="1"/>
  <c r="G13" i="21" l="1"/>
  <c r="F13" i="21"/>
  <c r="G20" i="20" l="1"/>
  <c r="H20" i="20" l="1"/>
  <c r="N101" i="15"/>
  <c r="N100" i="15"/>
  <c r="M100" i="15"/>
  <c r="N98" i="15"/>
  <c r="M98" i="15"/>
  <c r="N97" i="15"/>
  <c r="M97" i="15"/>
  <c r="M101" i="15"/>
  <c r="E112" i="15"/>
  <c r="M107" i="15"/>
  <c r="N107" i="15"/>
  <c r="O107" i="15"/>
  <c r="P107" i="15"/>
  <c r="L107" i="15"/>
  <c r="P92" i="14"/>
  <c r="O92" i="14"/>
  <c r="N92" i="14"/>
  <c r="M92" i="14"/>
  <c r="L92" i="14"/>
  <c r="E111" i="15"/>
  <c r="E106" i="15"/>
  <c r="E105" i="15"/>
  <c r="E104" i="15"/>
  <c r="L101" i="15"/>
  <c r="P100" i="15"/>
  <c r="O100" i="15"/>
  <c r="L100" i="15"/>
  <c r="D100" i="15"/>
  <c r="C100" i="15"/>
  <c r="P98" i="15"/>
  <c r="O98" i="15"/>
  <c r="L98" i="15"/>
  <c r="D98" i="15"/>
  <c r="C98" i="15"/>
  <c r="P97" i="15"/>
  <c r="O97" i="15"/>
  <c r="L97" i="15"/>
  <c r="D97" i="15"/>
  <c r="C97" i="15"/>
  <c r="E95" i="15"/>
  <c r="E94" i="15"/>
  <c r="E93" i="15"/>
  <c r="I92" i="15"/>
  <c r="I100" i="15" s="1"/>
  <c r="E92" i="15"/>
  <c r="E91" i="15"/>
  <c r="E90" i="15"/>
  <c r="O101" i="15"/>
  <c r="E88" i="15"/>
  <c r="E87" i="15"/>
  <c r="E86" i="15"/>
  <c r="E85" i="15"/>
  <c r="E84" i="15"/>
  <c r="E83" i="15"/>
  <c r="E82" i="15"/>
  <c r="I81" i="15"/>
  <c r="I101" i="15" s="1"/>
  <c r="E81" i="15"/>
  <c r="C81" i="15"/>
  <c r="E80" i="15"/>
  <c r="E79" i="15"/>
  <c r="E78" i="15"/>
  <c r="E77" i="15"/>
  <c r="E76" i="15"/>
  <c r="E75" i="15"/>
  <c r="E74" i="15"/>
  <c r="E73" i="15"/>
  <c r="E72" i="15"/>
  <c r="E71" i="15"/>
  <c r="C71" i="15"/>
  <c r="C101" i="15" s="1"/>
  <c r="E70" i="15"/>
  <c r="E67" i="15"/>
  <c r="E66" i="15"/>
  <c r="E65" i="15"/>
  <c r="I97" i="15"/>
  <c r="E64" i="15"/>
  <c r="E63" i="15"/>
  <c r="E62" i="15"/>
  <c r="I61" i="15"/>
  <c r="I98" i="15" s="1"/>
  <c r="E61" i="15"/>
  <c r="E60" i="15"/>
  <c r="E59" i="15"/>
  <c r="E58" i="15"/>
  <c r="E57" i="15"/>
  <c r="E56" i="15"/>
  <c r="E55" i="15"/>
  <c r="E54" i="15"/>
  <c r="E53" i="15"/>
  <c r="E42" i="15"/>
  <c r="J41" i="15"/>
  <c r="K41" i="15"/>
  <c r="L41" i="15"/>
  <c r="M41" i="15"/>
  <c r="N41" i="15"/>
  <c r="O41" i="15"/>
  <c r="E45" i="15"/>
  <c r="E46" i="15"/>
  <c r="E47" i="15"/>
  <c r="E48" i="15"/>
  <c r="E44" i="15"/>
  <c r="E40" i="15"/>
  <c r="E39" i="15"/>
  <c r="E38" i="15"/>
  <c r="E37" i="15"/>
  <c r="E36" i="15"/>
  <c r="E35" i="15"/>
  <c r="E34" i="15"/>
  <c r="E33" i="15"/>
  <c r="E32" i="15"/>
  <c r="E31" i="15"/>
  <c r="E30" i="15"/>
  <c r="E29" i="15"/>
  <c r="E27" i="15"/>
  <c r="E26" i="15"/>
  <c r="E25" i="15"/>
  <c r="E24" i="15"/>
  <c r="E23" i="15"/>
  <c r="E22" i="15"/>
  <c r="E21" i="15"/>
  <c r="E20" i="15"/>
  <c r="E16" i="15"/>
  <c r="E14" i="15"/>
  <c r="E13" i="15"/>
  <c r="E11" i="15"/>
  <c r="E8" i="15"/>
  <c r="E9" i="15"/>
  <c r="N82" i="14"/>
  <c r="M82" i="14"/>
  <c r="P81" i="14"/>
  <c r="O81" i="14"/>
  <c r="M81" i="14"/>
  <c r="L81" i="14"/>
  <c r="I81" i="14"/>
  <c r="P79" i="14"/>
  <c r="O79" i="14"/>
  <c r="N79" i="14"/>
  <c r="M79" i="14"/>
  <c r="L79" i="14"/>
  <c r="I79" i="14"/>
  <c r="P78" i="14"/>
  <c r="O78" i="14"/>
  <c r="N78" i="14"/>
  <c r="M78" i="14"/>
  <c r="L78" i="14"/>
  <c r="I78" i="14"/>
  <c r="P82" i="14"/>
  <c r="L82" i="14"/>
  <c r="E75" i="14"/>
  <c r="E74" i="14"/>
  <c r="E73" i="14"/>
  <c r="E72" i="14"/>
  <c r="E71" i="14"/>
  <c r="E70" i="14"/>
  <c r="E69" i="14"/>
  <c r="E68" i="14"/>
  <c r="E67" i="14"/>
  <c r="E66" i="14"/>
  <c r="E65" i="14"/>
  <c r="E64" i="14"/>
  <c r="E63" i="14"/>
  <c r="I82" i="14"/>
  <c r="E62" i="14"/>
  <c r="E61" i="14"/>
  <c r="E60" i="14"/>
  <c r="E59" i="14"/>
  <c r="E58" i="14"/>
  <c r="E57" i="14"/>
  <c r="E56" i="14"/>
  <c r="E55" i="14"/>
  <c r="E54" i="14"/>
  <c r="E53" i="14"/>
  <c r="E52" i="14"/>
  <c r="E51" i="14"/>
  <c r="E48" i="14"/>
  <c r="E47" i="14"/>
  <c r="E46" i="14"/>
  <c r="E45" i="14"/>
  <c r="E44" i="14"/>
  <c r="E43" i="14"/>
  <c r="E42" i="14"/>
  <c r="E41" i="14"/>
  <c r="E40" i="14"/>
  <c r="E39" i="14"/>
  <c r="E38" i="14"/>
  <c r="E37" i="14"/>
  <c r="E36" i="14"/>
  <c r="E35" i="14"/>
  <c r="E34" i="14"/>
  <c r="E24" i="14"/>
  <c r="E23" i="14"/>
  <c r="E22" i="14"/>
  <c r="E21" i="14"/>
  <c r="E20" i="14"/>
  <c r="E19" i="14"/>
  <c r="E17" i="14"/>
  <c r="E16" i="14"/>
  <c r="E15" i="14"/>
  <c r="N10" i="14"/>
  <c r="I10" i="14"/>
  <c r="E10" i="14"/>
  <c r="N96" i="15" l="1"/>
  <c r="I77" i="14"/>
  <c r="M96" i="15"/>
  <c r="L77" i="14"/>
  <c r="P77" i="14"/>
  <c r="M77" i="14"/>
  <c r="O77" i="14"/>
  <c r="O96" i="15"/>
  <c r="M99" i="15"/>
  <c r="E41" i="15"/>
  <c r="E98" i="15"/>
  <c r="E100" i="15"/>
  <c r="E89" i="15"/>
  <c r="E101" i="15" s="1"/>
  <c r="L99" i="15"/>
  <c r="N99" i="15"/>
  <c r="E29" i="14"/>
  <c r="O29" i="14"/>
  <c r="E78" i="14"/>
  <c r="E79" i="14"/>
  <c r="N77" i="14"/>
  <c r="E49" i="15"/>
  <c r="E97" i="15"/>
  <c r="M80" i="14"/>
  <c r="E81" i="14"/>
  <c r="I96" i="15"/>
  <c r="I80" i="14"/>
  <c r="L96" i="15"/>
  <c r="P96" i="15"/>
  <c r="I99" i="15"/>
  <c r="O99" i="15"/>
  <c r="P101" i="15"/>
  <c r="P99" i="15" s="1"/>
  <c r="P80" i="14"/>
  <c r="L80" i="14"/>
  <c r="N81" i="14"/>
  <c r="N80" i="14" s="1"/>
  <c r="O82" i="14"/>
  <c r="O80" i="14" s="1"/>
  <c r="E76" i="14"/>
  <c r="E82" i="14" s="1"/>
  <c r="N102" i="15" l="1"/>
  <c r="M83" i="14"/>
  <c r="I83" i="14"/>
  <c r="M102" i="15"/>
  <c r="P83" i="14"/>
  <c r="L83" i="14"/>
  <c r="O83" i="14"/>
  <c r="E96" i="15"/>
  <c r="E99" i="15"/>
  <c r="E77" i="14"/>
  <c r="N83" i="14"/>
  <c r="E80" i="14"/>
  <c r="L97" i="14"/>
  <c r="P14" i="14"/>
  <c r="O14" i="14"/>
  <c r="N14" i="14"/>
  <c r="M14" i="14"/>
  <c r="L14" i="14"/>
  <c r="I14" i="14"/>
  <c r="E96" i="14"/>
  <c r="E94" i="14"/>
  <c r="E93" i="14"/>
  <c r="E92" i="14"/>
  <c r="E89" i="14"/>
  <c r="E88" i="14"/>
  <c r="E87" i="14"/>
  <c r="E85" i="14"/>
  <c r="E83" i="14" l="1"/>
  <c r="E28" i="15"/>
  <c r="E14" i="14"/>
  <c r="E95" i="14"/>
  <c r="O7" i="15" l="1"/>
  <c r="L19" i="15"/>
  <c r="M19" i="15"/>
  <c r="I43" i="15"/>
  <c r="M43" i="15"/>
  <c r="O43" i="15"/>
  <c r="P43" i="15"/>
  <c r="L43" i="15"/>
  <c r="I28" i="15"/>
  <c r="M28" i="15"/>
  <c r="N28" i="15"/>
  <c r="O28" i="15"/>
  <c r="P28" i="15"/>
  <c r="L28" i="15"/>
  <c r="I19" i="15"/>
  <c r="N19" i="15"/>
  <c r="O19" i="15"/>
  <c r="P19" i="15"/>
  <c r="M12" i="15"/>
  <c r="N12" i="15"/>
  <c r="O12" i="15"/>
  <c r="P12" i="15"/>
  <c r="L12" i="15"/>
  <c r="M10" i="15"/>
  <c r="N10" i="15"/>
  <c r="O10" i="15"/>
  <c r="P10" i="15"/>
  <c r="L10" i="15"/>
  <c r="I7" i="15"/>
  <c r="M7" i="15"/>
  <c r="N7" i="15"/>
  <c r="P7" i="15"/>
  <c r="L7" i="15"/>
  <c r="E19" i="15"/>
  <c r="M50" i="15" l="1"/>
  <c r="P50" i="15"/>
  <c r="O50" i="15"/>
  <c r="N43" i="15"/>
  <c r="E43" i="15" s="1"/>
  <c r="L50" i="15"/>
  <c r="T23" i="15"/>
  <c r="E108" i="15"/>
  <c r="E107" i="15"/>
  <c r="N50" i="15" l="1"/>
  <c r="F102" i="21"/>
  <c r="J101" i="21"/>
  <c r="I101" i="21"/>
  <c r="H101" i="21"/>
  <c r="G101" i="21"/>
  <c r="F101" i="21"/>
  <c r="D101" i="21"/>
  <c r="E100" i="21"/>
  <c r="J97" i="21"/>
  <c r="I97" i="21"/>
  <c r="H97" i="21"/>
  <c r="G97" i="21"/>
  <c r="F97" i="21"/>
  <c r="D97" i="21"/>
  <c r="E96" i="21"/>
  <c r="F95" i="21"/>
  <c r="F94" i="21"/>
  <c r="J93" i="21"/>
  <c r="I93" i="21"/>
  <c r="H93" i="21"/>
  <c r="G93" i="21"/>
  <c r="D93" i="21"/>
  <c r="E92" i="21"/>
  <c r="F79" i="21"/>
  <c r="F78" i="21" s="1"/>
  <c r="J78" i="21"/>
  <c r="I78" i="21"/>
  <c r="H78" i="21"/>
  <c r="G78" i="21"/>
  <c r="D78" i="21"/>
  <c r="E77" i="21"/>
  <c r="F74" i="21"/>
  <c r="F73" i="21" s="1"/>
  <c r="J73" i="21"/>
  <c r="I73" i="21"/>
  <c r="H73" i="21"/>
  <c r="G73" i="21"/>
  <c r="D73" i="21"/>
  <c r="E72" i="21"/>
  <c r="F22" i="21"/>
  <c r="F21" i="21"/>
  <c r="G21" i="21" s="1"/>
  <c r="H21" i="21" s="1"/>
  <c r="D20" i="21"/>
  <c r="E19" i="21"/>
  <c r="F16" i="21"/>
  <c r="F15" i="21"/>
  <c r="H14" i="21"/>
  <c r="G14" i="21"/>
  <c r="D14" i="21"/>
  <c r="E13" i="21"/>
  <c r="F102" i="20"/>
  <c r="F101" i="20" s="1"/>
  <c r="J101" i="20"/>
  <c r="I101" i="20"/>
  <c r="H101" i="20"/>
  <c r="G101" i="20"/>
  <c r="D101" i="20"/>
  <c r="E100" i="20"/>
  <c r="J97" i="20"/>
  <c r="I97" i="20"/>
  <c r="H97" i="20"/>
  <c r="G97" i="20"/>
  <c r="D97" i="20"/>
  <c r="E96" i="20"/>
  <c r="F94" i="20"/>
  <c r="J93" i="20"/>
  <c r="I93" i="20"/>
  <c r="H93" i="20"/>
  <c r="G93" i="20"/>
  <c r="D93" i="20"/>
  <c r="E92" i="20"/>
  <c r="F79" i="20"/>
  <c r="F78" i="20" s="1"/>
  <c r="J78" i="20"/>
  <c r="I78" i="20"/>
  <c r="H78" i="20"/>
  <c r="D78" i="20"/>
  <c r="E77" i="20"/>
  <c r="F73" i="20"/>
  <c r="J73" i="20"/>
  <c r="I73" i="20"/>
  <c r="H73" i="20"/>
  <c r="G73" i="20"/>
  <c r="D73" i="20"/>
  <c r="E72" i="20"/>
  <c r="F22" i="20"/>
  <c r="F20" i="20" s="1"/>
  <c r="D20" i="20"/>
  <c r="E19" i="20"/>
  <c r="F16" i="20"/>
  <c r="F15" i="20"/>
  <c r="J14" i="20"/>
  <c r="I14" i="20"/>
  <c r="H14" i="20"/>
  <c r="G14" i="20"/>
  <c r="D14" i="20"/>
  <c r="E13" i="20"/>
  <c r="C43" i="15"/>
  <c r="D43" i="15"/>
  <c r="I21" i="21" l="1"/>
  <c r="J21" i="21" s="1"/>
  <c r="J20" i="21" s="1"/>
  <c r="F14" i="21"/>
  <c r="G20" i="21"/>
  <c r="I20" i="21"/>
  <c r="H20" i="21"/>
  <c r="F93" i="20"/>
  <c r="F93" i="21"/>
  <c r="F20" i="21"/>
  <c r="F14" i="20"/>
  <c r="D73" i="14" l="1"/>
  <c r="D67" i="14"/>
  <c r="D61" i="14"/>
  <c r="D56" i="14"/>
  <c r="D51" i="14"/>
  <c r="L113" i="15" l="1"/>
  <c r="P102" i="15" l="1"/>
  <c r="O102" i="15"/>
  <c r="D81" i="14" l="1"/>
  <c r="C81" i="14"/>
  <c r="D79" i="14"/>
  <c r="C79" i="14"/>
  <c r="D78" i="14"/>
  <c r="C78" i="14"/>
  <c r="M18" i="14" l="1"/>
  <c r="N18" i="14"/>
  <c r="M31" i="14" l="1"/>
  <c r="N31" i="14"/>
  <c r="I113" i="15"/>
  <c r="P113" i="15"/>
  <c r="O113" i="15"/>
  <c r="M113" i="15"/>
  <c r="C10" i="15"/>
  <c r="C18" i="14"/>
  <c r="D18" i="14"/>
  <c r="I18" i="14"/>
  <c r="I31" i="14" l="1"/>
  <c r="C82" i="14"/>
  <c r="P18" i="14"/>
  <c r="P31" i="14" s="1"/>
  <c r="O18" i="14"/>
  <c r="O31" i="14" s="1"/>
  <c r="D82" i="14"/>
  <c r="L18" i="14"/>
  <c r="L31" i="14" s="1"/>
  <c r="E113" i="15"/>
  <c r="N113" i="15"/>
  <c r="I102" i="15" l="1"/>
  <c r="L102" i="15"/>
  <c r="I97" i="14"/>
  <c r="P10" i="14"/>
  <c r="P12" i="14" s="1"/>
  <c r="P32" i="14" l="1"/>
  <c r="E18" i="14" l="1"/>
  <c r="E31" i="14" s="1"/>
  <c r="I41" i="15" l="1"/>
  <c r="D28" i="15"/>
  <c r="D19" i="15"/>
  <c r="E15" i="15"/>
  <c r="P15" i="15"/>
  <c r="P17" i="15" s="1"/>
  <c r="P51" i="15" s="1"/>
  <c r="O15" i="15"/>
  <c r="O17" i="15" s="1"/>
  <c r="O51" i="15" s="1"/>
  <c r="N15" i="15"/>
  <c r="N17" i="15" s="1"/>
  <c r="N51" i="15" s="1"/>
  <c r="M15" i="15"/>
  <c r="M17" i="15" s="1"/>
  <c r="M51" i="15" s="1"/>
  <c r="L15" i="15"/>
  <c r="L17" i="15" s="1"/>
  <c r="L51" i="15" s="1"/>
  <c r="I15" i="15"/>
  <c r="D15" i="15"/>
  <c r="I12" i="15"/>
  <c r="D12" i="15"/>
  <c r="E10" i="15"/>
  <c r="I10" i="15"/>
  <c r="D10" i="15"/>
  <c r="I50" i="15" l="1"/>
  <c r="E50" i="15"/>
  <c r="I17" i="15"/>
  <c r="E7" i="15"/>
  <c r="E12" i="15"/>
  <c r="I51" i="15" l="1"/>
  <c r="I114" i="15" s="1"/>
  <c r="E17" i="15"/>
  <c r="E51" i="15" s="1"/>
  <c r="E102" i="15"/>
  <c r="L114" i="15"/>
  <c r="M114" i="15"/>
  <c r="E114" i="15" l="1"/>
  <c r="O114" i="15"/>
  <c r="N114" i="15"/>
  <c r="P114" i="15"/>
  <c r="D14" i="14" l="1"/>
  <c r="E12" i="14"/>
  <c r="E32" i="14" s="1"/>
  <c r="O10" i="14"/>
  <c r="O12" i="14" s="1"/>
  <c r="N12" i="14"/>
  <c r="M12" i="14"/>
  <c r="L12" i="14"/>
  <c r="I12" i="14"/>
  <c r="I32" i="14" s="1"/>
  <c r="I98" i="14" s="1"/>
  <c r="L32" i="14" l="1"/>
  <c r="M32" i="14"/>
  <c r="O32" i="14"/>
  <c r="L98" i="14" l="1"/>
  <c r="Q13" i="14"/>
  <c r="N32" i="14" l="1"/>
  <c r="N97" i="14"/>
  <c r="O97" i="14"/>
  <c r="O98" i="14" s="1"/>
  <c r="M97" i="14"/>
  <c r="M98" i="14" s="1"/>
  <c r="P97" i="14"/>
  <c r="P98" i="14" s="1"/>
  <c r="E86" i="14"/>
  <c r="E90" i="14"/>
  <c r="N98" i="14" l="1"/>
  <c r="E98" i="14" s="1"/>
  <c r="E97" i="14"/>
</calcChain>
</file>

<file path=xl/sharedStrings.xml><?xml version="1.0" encoding="utf-8"?>
<sst xmlns="http://schemas.openxmlformats.org/spreadsheetml/2006/main" count="1899" uniqueCount="859">
  <si>
    <t>№ з/п</t>
  </si>
  <si>
    <t>Найменування заходів</t>
  </si>
  <si>
    <t>шт./км*</t>
  </si>
  <si>
    <t>Усього</t>
  </si>
  <si>
    <t>Наявність проектної документації на початок прогнозного періоду (так/ні)</t>
  </si>
  <si>
    <t>Кошторисна/оціночна вартість ПВР тис. грн (без ПДВ)</t>
  </si>
  <si>
    <t>Джерело фінансування</t>
  </si>
  <si>
    <t>Критерії (відповідно до підпунтку 3.2.6 глави 3.2 КСР)</t>
  </si>
  <si>
    <t>Обгрунтування включення до ПРСР (СПР, технічний стан, ПРСП, вимога ОСП тощо), вказати назву документа та сторінку</t>
  </si>
  <si>
    <t>Стислий опис робіт</t>
  </si>
  <si>
    <t>№ сторінки пояснювальної записки</t>
  </si>
  <si>
    <t>Примітка</t>
  </si>
  <si>
    <t>кількість*</t>
  </si>
  <si>
    <t>Кошторисна/оціночна вартість БМР тис. грн (без ПДВ)</t>
  </si>
  <si>
    <t>початок (квартал, рік)</t>
  </si>
  <si>
    <t>закінчення (квартал, рік)</t>
  </si>
  <si>
    <t>обсяг фінансування, тис. грн (без ПДВ)</t>
  </si>
  <si>
    <t>2021 р.</t>
  </si>
  <si>
    <t>2022 р.</t>
  </si>
  <si>
    <t>2023 р.</t>
  </si>
  <si>
    <t>2024 р.</t>
  </si>
  <si>
    <t>Нове будівництво об'єктів системи розподілу</t>
  </si>
  <si>
    <t>1.1.</t>
  </si>
  <si>
    <t>Підстанції рівня напруги 110 (154, 220) кВ, усього</t>
  </si>
  <si>
    <t>1.2.</t>
  </si>
  <si>
    <t>Підстанції рівня напруги 35 (27,5; 20) кВ, усього</t>
  </si>
  <si>
    <t>1.3.</t>
  </si>
  <si>
    <t>Лінії електропередачі рівня напруги 110 (154, 220) кВ, усього</t>
  </si>
  <si>
    <t>1.4.</t>
  </si>
  <si>
    <t>Лінії електропередачі рівня напруги 35 (27,5; 20) кВ, усього</t>
  </si>
  <si>
    <t>так</t>
  </si>
  <si>
    <t>СПР ст.30, 147</t>
  </si>
  <si>
    <t>Усього (сума по п.1.1-1.4)</t>
  </si>
  <si>
    <t>2.</t>
  </si>
  <si>
    <t>Реконструкція, технічне переоснащення об'єктів системи розподілу</t>
  </si>
  <si>
    <t>2.1.</t>
  </si>
  <si>
    <t>2.1.1.</t>
  </si>
  <si>
    <t>Амортизаційні відрахування</t>
  </si>
  <si>
    <t>1, 2, 3, 6</t>
  </si>
  <si>
    <t>Реконструкція ВРУ-150 кВ:
- Заміна масляних вимикачів ВМТ-220 -150 кВ на елегазові вимикачі.
- Заміна трансформаторів струму ТФЗМ-150 кВ на маломасляні ТС.
- Заміна роз’єднувачів  типу РНДЗ-2-150\1000 У1 на нові.
- Встановлення маломасляних трансформаторів напруги.
- Заміна вентильних розрядників  РВМГ-150 на ОПН-150 кВ.
На стороні 10-6 кВ:
- Заміна у ввідних комірках трансформаторів струму ТВЛМ-10 на трансформатори струму ТЛШ-10 3000\5А .
- Заміна вентильних розрядників 10 кВ на обмежувачі перенапруги типу ОПН.
- Встановлення комплекту релейного захисту на мікропроцесорній базі.</t>
  </si>
  <si>
    <t>Технічне переоснащення ПС «Наклоноствольна 150/6 кВ» 1 етап</t>
  </si>
  <si>
    <t>1, 2, 3</t>
  </si>
  <si>
    <t>2.2.</t>
  </si>
  <si>
    <t>2.2.1.</t>
  </si>
  <si>
    <t>1, 2, 5, 9</t>
  </si>
  <si>
    <t>2.2.3.</t>
  </si>
  <si>
    <t>Технічне переоснащення ПС-35/6 кВ «Чешка»</t>
  </si>
  <si>
    <t>ні</t>
  </si>
  <si>
    <t>1, 2, 3, 8, 10</t>
  </si>
  <si>
    <t>2.2.6.</t>
  </si>
  <si>
    <t>Технічне переоснащення ПС-35/10 кВ «Луч»</t>
  </si>
  <si>
    <t>1, 2, 4, 8, 9</t>
  </si>
  <si>
    <t xml:space="preserve">Проектом передбачається:
- заміна обладнання 35 кВ;                                                                                                   - заміна кабельно-провідникової продукції під нове обладнання;
- охоронна та пожежна сигналізація;
- заміна мережі зовнішнього освітлення. </t>
  </si>
  <si>
    <t>1, 2, 3, 5, 8, 9</t>
  </si>
  <si>
    <t>Технічне переоснащення ПС-35/6 кВ №14</t>
  </si>
  <si>
    <t>1, 2, 8, 9</t>
  </si>
  <si>
    <t>Технічне переоснащення ПС-35/10 «НМФ»</t>
  </si>
  <si>
    <t>2.3.</t>
  </si>
  <si>
    <t>2.3.1.</t>
  </si>
  <si>
    <t>2.3.2.</t>
  </si>
  <si>
    <t>…</t>
  </si>
  <si>
    <t>2.4.</t>
  </si>
  <si>
    <t>Усього (сума по п. 2.1-2.4)</t>
  </si>
  <si>
    <t>Усього (сума по п. 1 та 2)</t>
  </si>
  <si>
    <t>3.</t>
  </si>
  <si>
    <t>Нове будівництво об'єктів системи розподілу рівня напруги 10 (6); 0,4 кВ</t>
  </si>
  <si>
    <t>3.1.</t>
  </si>
  <si>
    <t>Вільногірські РЕМ, усього</t>
  </si>
  <si>
    <t>Технічний стан, КСР ст.12, акти дефектів</t>
  </si>
  <si>
    <t>3.1.1.</t>
  </si>
  <si>
    <t>Будівництво ПЛ-6 кВ</t>
  </si>
  <si>
    <t>Будівництво ПЛ-6 кВ на з/б опорах в смт. Дніпровське</t>
  </si>
  <si>
    <t>3.1.2.</t>
  </si>
  <si>
    <t>Будівництво КЛ-0,4 кВ</t>
  </si>
  <si>
    <t>Будівництво КЛ-0,4 кВ до житлового будинку в смт. Дніпровське</t>
  </si>
  <si>
    <t>3.2.</t>
  </si>
  <si>
    <t>Павлоградські РЕМ, усього</t>
  </si>
  <si>
    <t>3.2.1.</t>
  </si>
  <si>
    <t>Будівництво розвантажувального ТП-6/0,4 кВ</t>
  </si>
  <si>
    <t>Будівництво розвантажувального КТП-6/0,4 кВ  для переведення навантаження ПЛ-0,4 кВ до ж/б в м. Павлоград.</t>
  </si>
  <si>
    <t>3.3.</t>
  </si>
  <si>
    <t>Дніпроперовські РЕМ , усього</t>
  </si>
  <si>
    <t>3.3.1.</t>
  </si>
  <si>
    <t>Будівництво двотрансформаторної КТП-6/2х250 кВА з АВР для переведенням навантаження ТП-9к в м. Дніпро</t>
  </si>
  <si>
    <t>3.3.2.</t>
  </si>
  <si>
    <t>Будівництво КЛ 6 кВ</t>
  </si>
  <si>
    <t>Будівництво КЛ -6 кВ в м. Дніпро</t>
  </si>
  <si>
    <t>3.4.</t>
  </si>
  <si>
    <t>Жовтоводські РЕМ , усього</t>
  </si>
  <si>
    <t>3.4.1.</t>
  </si>
  <si>
    <t>Будівництво розвантажувального КТП 6/0,4 кВ для переведення навантаження ПЛ-0,4 кВ в м. Жовті Води</t>
  </si>
  <si>
    <t>3.5.</t>
  </si>
  <si>
    <t>Криворізькі РЕМ , усього</t>
  </si>
  <si>
    <t>3.5.1.</t>
  </si>
  <si>
    <t xml:space="preserve"> Будівництво розвантажувального КТП-6/0,4 кВ з заміною проводу АС на СІП існуючих ПЛ-0,4 кВ в м. Кривий Ріг. </t>
  </si>
  <si>
    <t>4.</t>
  </si>
  <si>
    <t>Реконструкція, технічне переоснащення об'єктів системи розподілу рівня напруги 10 (6); 0,4 кВ</t>
  </si>
  <si>
    <t>4.1.</t>
  </si>
  <si>
    <t>4.1.1.</t>
  </si>
  <si>
    <t>Технічне переоснащення  ТП, РП 6/0,4 кВ</t>
  </si>
  <si>
    <t>КСР ст.12</t>
  </si>
  <si>
    <t>Заміна панелей в РУ-0,4 кВ на  ЩО 90 та комірок КСОв РУ-6 кВ</t>
  </si>
  <si>
    <t>4.1.2.</t>
  </si>
  <si>
    <t>Реконструкція ПЛ-0,4 кВ</t>
  </si>
  <si>
    <t>Реконструкція ПЛ з заміною проводу на СІП</t>
  </si>
  <si>
    <t>4.1.3.</t>
  </si>
  <si>
    <t>Реконструкція КЛ-6 кВ</t>
  </si>
  <si>
    <t>Реконструкція КЛ 6 кВ в смт. Дніпровське</t>
  </si>
  <si>
    <t>4.1.4.</t>
  </si>
  <si>
    <t>Реконструкція КЛ 0,4 кВ</t>
  </si>
  <si>
    <t>Реконструкція КЛ 0,4 кВ від ТП до житлових будинків</t>
  </si>
  <si>
    <t>4.2.</t>
  </si>
  <si>
    <t>4.2.1.</t>
  </si>
  <si>
    <t>Технічне переоснащення  ТП, РП 10(6)/0,4 кВ</t>
  </si>
  <si>
    <t>Заміна обладнання ТП</t>
  </si>
  <si>
    <t>4.2.2.</t>
  </si>
  <si>
    <t>4.2.3.</t>
  </si>
  <si>
    <t>Реконструкція ПЛ 6 кВ</t>
  </si>
  <si>
    <t>4.2.4.</t>
  </si>
  <si>
    <t>Реконструкція КЛ-10 кВ</t>
  </si>
  <si>
    <t>Реконструкція КЛ-10 кВ в м. Кривий Ріг</t>
  </si>
  <si>
    <t>4.3.</t>
  </si>
  <si>
    <t>4.3.1.</t>
  </si>
  <si>
    <t>4.3.2.</t>
  </si>
  <si>
    <t>Реконструкція ПЛ-10 кВ</t>
  </si>
  <si>
    <t>4.3.3.</t>
  </si>
  <si>
    <t>4.3.4.</t>
  </si>
  <si>
    <t>Реконструкція КЛ-10 кВ в смт. Гвардійське</t>
  </si>
  <si>
    <t>4.3.5.</t>
  </si>
  <si>
    <t>4.4.</t>
  </si>
  <si>
    <t>4.4.1.</t>
  </si>
  <si>
    <t>Заміна обладнання ТП, РП</t>
  </si>
  <si>
    <t>4.4.2.</t>
  </si>
  <si>
    <t>Реконструкція ПЛ-6 кВ з заміною опор в м. Жовті Води</t>
  </si>
  <si>
    <t>4.4.3.</t>
  </si>
  <si>
    <t>4.4.4.</t>
  </si>
  <si>
    <t>Реконструкція КЛ-6 кВ в м. Жовті Води</t>
  </si>
  <si>
    <t>4.4.5.</t>
  </si>
  <si>
    <t>4.5.</t>
  </si>
  <si>
    <t>4.5.1.</t>
  </si>
  <si>
    <t>Заміна обладнання ТП, панелей РУ-0,4 кВ на  ЩО 90 та комірок КСО</t>
  </si>
  <si>
    <t>4.5.2.</t>
  </si>
  <si>
    <t>Реконструкція КЛ 6 кВ в м. Дніпро</t>
  </si>
  <si>
    <t>Усього по п. 3:</t>
  </si>
  <si>
    <t>ТП (РП)</t>
  </si>
  <si>
    <t>ЛЕП</t>
  </si>
  <si>
    <t>Усього по п. 4:</t>
  </si>
  <si>
    <t>Усього по п. 3, 4</t>
  </si>
  <si>
    <t xml:space="preserve">Інші заходи, усього </t>
  </si>
  <si>
    <t>КСР</t>
  </si>
  <si>
    <t>5.2</t>
  </si>
  <si>
    <t xml:space="preserve">Розміщення пристроїв фіксації/аналізу показників якості електроенергії </t>
  </si>
  <si>
    <t>Амортизаційні відрахування, прибуток на виробничі інвестиції</t>
  </si>
  <si>
    <t>5.3</t>
  </si>
  <si>
    <t>Заходи зі зниження нетехнічних витрат електричної енергії</t>
  </si>
  <si>
    <t>5.3.1</t>
  </si>
  <si>
    <t>5.3.2</t>
  </si>
  <si>
    <t>Створення АСКОЕ побутових споживачів</t>
  </si>
  <si>
    <t>Закупівля обладнання під АСКОЕ</t>
  </si>
  <si>
    <t>5.4</t>
  </si>
  <si>
    <t>Заходи з удосконалення та розвитку IT-інфраструктури під сучасні потреби бізнесу, в т.ч. телемеханізація підстанцій</t>
  </si>
  <si>
    <t>5.4.1</t>
  </si>
  <si>
    <t>Впровадження та розвиток АСДТК</t>
  </si>
  <si>
    <t>5.4.2</t>
  </si>
  <si>
    <t>Впровадження та розвиток інформаційних технологій та розвиток систем зв'язку</t>
  </si>
  <si>
    <t>5.5</t>
  </si>
  <si>
    <t>Усього по п. 5:</t>
  </si>
  <si>
    <t>ВСЬОГО</t>
  </si>
  <si>
    <t>* Довжина ліній електропередачі вказується по трасі ліній.</t>
  </si>
  <si>
    <t>**  Зазначити відповідний рік.</t>
  </si>
  <si>
    <t>(підпис)</t>
  </si>
  <si>
    <t>(прізвище, ім'я, по батькові)</t>
  </si>
  <si>
    <t xml:space="preserve">(або особа, яка виконує його обов'язки)                                                                         </t>
  </si>
  <si>
    <t>М. П. (за наявності)</t>
  </si>
  <si>
    <t>"____" ____________ 20___ року</t>
  </si>
  <si>
    <t>технічний стан</t>
  </si>
  <si>
    <t>* Оцінку необхідності капітального ремонту або повної заміни ліній електропередачі (ЛЕП) проводити за пріоритетом реального технічного стану, а не з урахуванням періодичності капітального ремонту.</t>
  </si>
  <si>
    <t>вимагають заміни як такі, що не підлягають ремонту</t>
  </si>
  <si>
    <t>вимагають заміни з метою зниження ТВЕ</t>
  </si>
  <si>
    <t>у доброму стані</t>
  </si>
  <si>
    <t>шт.</t>
  </si>
  <si>
    <t>Силові трансформатори ПС вищою напругою 6 – 10 кВ, усього</t>
  </si>
  <si>
    <t>Силові трансформатори ПС вищою напругою 35 кВ, усього</t>
  </si>
  <si>
    <t>Силові трансформатори ПС вищою напругою 110 (150) кВ, усього</t>
  </si>
  <si>
    <t>вимагають заміни з метою зниження технологічних витрат електричної енергії (ТВЕ)</t>
  </si>
  <si>
    <t>Силові трансформатори ПС вищою напругою 220 кВ, усього</t>
  </si>
  <si>
    <t>виведено з експлуатації</t>
  </si>
  <si>
    <t>підлягає повній заміні</t>
  </si>
  <si>
    <t>підлягає капітальному ремонту</t>
  </si>
  <si>
    <t>підлягає реконструкції</t>
  </si>
  <si>
    <t>Трансформаторні підстанції (ТП), розподільні пункти (РП) 6 (10) кВ, усього</t>
  </si>
  <si>
    <t>ПС з вищим класом напруги
35 кВ, усього</t>
  </si>
  <si>
    <t>ПС з вищим класом напруги
110 (150) кВ, усього</t>
  </si>
  <si>
    <t>Підстанції (ПС) з вищим класом напруги 220 кВ, усього</t>
  </si>
  <si>
    <t>км</t>
  </si>
  <si>
    <t>КЛ-0,4 кВ, усього</t>
  </si>
  <si>
    <t>КЛ-6 (10) кВ, усього</t>
  </si>
  <si>
    <t>КЛ-35 кВ, усього</t>
  </si>
  <si>
    <t>КЛ-110 (150) кВ, усього</t>
  </si>
  <si>
    <t>Кабельні лінії (КЛ)-220 кВ, усього</t>
  </si>
  <si>
    <t>ПЛ-0,4 кВ, усього</t>
  </si>
  <si>
    <t>км
(по трасі)</t>
  </si>
  <si>
    <t>ПЛ-6 (10) кВ, усього</t>
  </si>
  <si>
    <t>ПЛ-35 кВ, усього</t>
  </si>
  <si>
    <t>ПЛ-110 (150) кВ, усього</t>
  </si>
  <si>
    <t>Повітряні лінії (ПЛ)-220 кВ, усього</t>
  </si>
  <si>
    <t xml:space="preserve">Прогнозний технічний стан  (з урахуванням обсягів запланованих робіт) на кінець </t>
  </si>
  <si>
    <t>Од. Вим.</t>
  </si>
  <si>
    <t>Назва обладнання та
якісна оцінка*</t>
  </si>
  <si>
    <t xml:space="preserve">"Технічне переоснащення транформаторної підстанції   «ДШЗ-1» </t>
  </si>
  <si>
    <t>Дані щодо прогнозної потужності приєднання нових електроустановок (на основі заяв про приєднання та доступної потужності в точках забезпечення потужності)</t>
  </si>
  <si>
    <t>№ п/п</t>
  </si>
  <si>
    <t>Джерело живлення,                      ПС 20-150 кВ</t>
  </si>
  <si>
    <t>Встановлена потужність ПС, МВт</t>
  </si>
  <si>
    <t>Сумарна потужність замовлена до приєднання (чинні ТУ), МВт</t>
  </si>
  <si>
    <t>Реалізовані ТУ, МВт</t>
  </si>
  <si>
    <t>Заплановані заходи зі створення резерву потужності у ПРСР</t>
  </si>
  <si>
    <t>Примітка (сонячні установки, рік /   МВт)</t>
  </si>
  <si>
    <t>Всього</t>
  </si>
  <si>
    <t>у т. ч. оплачено/
проавансовано</t>
  </si>
  <si>
    <t>ПС-154/35/6 кВ «КПО»</t>
  </si>
  <si>
    <t>2х25</t>
  </si>
  <si>
    <t>ПС-154/10/6 кВ «ПЛМ»</t>
  </si>
  <si>
    <t>32+40</t>
  </si>
  <si>
    <t>ПС-154/6/6 «Трубна»</t>
  </si>
  <si>
    <t>2х32</t>
  </si>
  <si>
    <t>ПС-150/35/10 кВ «Силова»</t>
  </si>
  <si>
    <t>1х16</t>
  </si>
  <si>
    <t>ПС-150/10/6 кВ «ПМЗ»</t>
  </si>
  <si>
    <t>ПС-150/6/6 кВ «ПЗТО»</t>
  </si>
  <si>
    <t>ПС «Наклоноствольна 150/6 кВ»</t>
  </si>
  <si>
    <t>2х60</t>
  </si>
  <si>
    <t>ПС 150/35/6 кВ «ДШЗ-1»</t>
  </si>
  <si>
    <t>ПС-35/6 кВ № 3</t>
  </si>
  <si>
    <t>2х6,3</t>
  </si>
  <si>
    <t>ПС-35/6 кВ «ЖКК»</t>
  </si>
  <si>
    <t>2х4</t>
  </si>
  <si>
    <t>ПС-35/6 кВ «Стрічка»</t>
  </si>
  <si>
    <t>ПС-35/10 кВ «НМФ»</t>
  </si>
  <si>
    <t>ПС № 50 «Березняки»35/10/6 кВ</t>
  </si>
  <si>
    <t>2х10</t>
  </si>
  <si>
    <t>ПС № 47 35/6 кВ «Західна»</t>
  </si>
  <si>
    <t>ПС № 5 «Жилселище» 35/6 кВ</t>
  </si>
  <si>
    <t>ПС-«Інгулецька» 35/6 кВ</t>
  </si>
  <si>
    <t>2х2,5</t>
  </si>
  <si>
    <t>ПС «С-35»35/6 кВ</t>
  </si>
  <si>
    <t>ПС- 29 35/6 кВ</t>
  </si>
  <si>
    <t>ПС-5 35/6(20) кВ м. Жовті Води</t>
  </si>
  <si>
    <t>2х16</t>
  </si>
  <si>
    <t>ПС-35/6 кВ «Чешка»</t>
  </si>
  <si>
    <t>1,6+2,5</t>
  </si>
  <si>
    <t>ПС-35/10 кВ «Луч»</t>
  </si>
  <si>
    <t>ПС «Макорти» 35/6 кВ</t>
  </si>
  <si>
    <t>ПС-35/6 кВ «Палмаш»</t>
  </si>
  <si>
    <t>ПС 35/6 кВ «Рахманово»</t>
  </si>
  <si>
    <t>ПС «НВ-ЦЗ» 35/6 кВ</t>
  </si>
  <si>
    <t>0,3/0,2</t>
  </si>
  <si>
    <t>ПС «САЗ» 35/10/6 кВ</t>
  </si>
  <si>
    <t>ПС-35/6 кВ «Молзавод»</t>
  </si>
  <si>
    <t>ПС-35/6 кВ №14</t>
  </si>
  <si>
    <t>2,5+3,2</t>
  </si>
  <si>
    <t>ПС «ЦЗ" 35/6 кВ</t>
  </si>
  <si>
    <t>ПС-35/10 кВ «Сельстрой»</t>
  </si>
  <si>
    <t xml:space="preserve">Додаток 3
до Порядку розроблення та подання на затвердження планів розвитку систем розподілу та інвестиційних програм операторів систем розподілу
</t>
  </si>
  <si>
    <t xml:space="preserve">Затверджено: 
Генеральний директор - Голова Правління ПрАТ "ПЕЕМ "ЦЕК"                   
</t>
  </si>
  <si>
    <t>М.В. Корса</t>
  </si>
  <si>
    <t>(відповідний орган ліцензіата)</t>
  </si>
  <si>
    <t>План розвитку системи розподілу</t>
  </si>
  <si>
    <t>Найменування оператора      системи розподілу</t>
  </si>
  <si>
    <t>ПрАТ "ПЕЕМ "ЦЕК"</t>
  </si>
  <si>
    <t>П'ятирічний період</t>
  </si>
  <si>
    <t>з</t>
  </si>
  <si>
    <t>до</t>
  </si>
  <si>
    <t>Висновок ОСП
від ____________ №__________</t>
  </si>
  <si>
    <t>Схвалено НКРЕКП, постанова
від ____________ №__________</t>
  </si>
  <si>
    <t>прибуток на виробничі інвестиції</t>
  </si>
  <si>
    <t xml:space="preserve">Технічний стан, СПР ст.24, 66,81,92 Акт технічного опосвідчення від 03.05.2019 р. </t>
  </si>
  <si>
    <t>Технічний стан, СПР ст.27, 94 Акт технічного опосвідчення від 02.04.2019 р.</t>
  </si>
  <si>
    <t>Технічний стан, СПР ст.30, 96 Акт технічного опосвідчення</t>
  </si>
  <si>
    <t>Технічний стан, СПР ст.37, 99 Акт технічного опосвідчення від 11.03.2019 р.</t>
  </si>
  <si>
    <t>Технічний стан, СПР ст.37, 81, 99 Акт технічного опосвідчення від 15.05.2017 р.</t>
  </si>
  <si>
    <t>Технічний стан, СПР ст.34, 82, 97 Акт технічного опосвідчення  від 17.05.2017 р.</t>
  </si>
  <si>
    <t>4.5.3.</t>
  </si>
  <si>
    <t>2.1.4.</t>
  </si>
  <si>
    <t>2.1.2.</t>
  </si>
  <si>
    <t xml:space="preserve">Рік виконання </t>
  </si>
  <si>
    <t>План реалізації</t>
  </si>
  <si>
    <t xml:space="preserve">Розробка ТЕО будівництва ПС "Красногвардійська" </t>
  </si>
  <si>
    <t xml:space="preserve">Розробка проекту "Реконструкція ПС 150/6 кВ "Пролісок" з ЛЕП-150 кВ" </t>
  </si>
  <si>
    <t>Будівництво ПС</t>
  </si>
  <si>
    <t xml:space="preserve">Розробка ТЕО "Реконструкція підстанції "Пролісок" з реконфігурацією мережі зі зміною класу напруги 6/10 кВ на 20 кВ" </t>
  </si>
  <si>
    <t>Розробка проекту</t>
  </si>
  <si>
    <t>Реконструкція ел.мереж</t>
  </si>
  <si>
    <t xml:space="preserve">Розробка ТЕО "Реконструкція електричних мереж ПрАТ "ПЕЕМ "ЦЕК" з реконфігурацією мережі зі зміною класу напруги 6 кВ на 20 кВ в м. Вільногірськ </t>
  </si>
  <si>
    <t>2017-2018</t>
  </si>
  <si>
    <t xml:space="preserve">Будівництво ПС та реконструкція електричних мереж  реконфігурацією мережі зі зміною класу напруги 6 кВ на 20 кВ </t>
  </si>
  <si>
    <t>Найменування ТЕО</t>
  </si>
  <si>
    <t>Проект</t>
  </si>
  <si>
    <t>інші (економія ТВЕ)</t>
  </si>
  <si>
    <t xml:space="preserve"> Модернізація та закупівля колісної техніки</t>
  </si>
  <si>
    <r>
      <t>Розробка проектної документації "Реконструкція електричних мереж ПрАТ "ПЕЕМ "ЦЕК" з реконфігурацією мережі зі зміною класу напруги 6 кВ на 20 кВ в м. Вільногірськ</t>
    </r>
    <r>
      <rPr>
        <b/>
        <sz val="11"/>
        <color indexed="8"/>
        <rFont val="Times New Roman"/>
        <family val="1"/>
        <charset val="204"/>
      </rPr>
      <t xml:space="preserve">   </t>
    </r>
  </si>
  <si>
    <t>Рік виконання  по сценарію 2</t>
  </si>
  <si>
    <t>1.1.1.</t>
  </si>
  <si>
    <t>Реконструкція електричних мереж ПрАТ "ПЕЕМ "ЦЕК" з реконфігурацією мережі зі зміною класу напруги 6 кВ на 20 кВ  
м. Вільногірськ
(Будівництво ПС 150/20 кВ м. Вільногірськ)</t>
  </si>
  <si>
    <t>ТЕО -2017</t>
  </si>
  <si>
    <t>Прибуток на виробничі інвестиції</t>
  </si>
  <si>
    <t xml:space="preserve">СПР ст.103 </t>
  </si>
  <si>
    <t xml:space="preserve">1.Будівництво нової ПС-150/20 кВ з підключенням до шин 150 кВ ПС 330 кВ ВДГМК ДП «НЕК «Укренерго»:
- Два силових трансформатори;
- ВРП-150 кВ з елегазовими вимикачами;
- Приєднання з вакуумними вимикачами 20 кВ;
- Мікропроцесорні блоки захисту, телемеханізація;                                                                                                                                                                                       2. Реконструкція електричних мереж з реконфігурацією мережі зі зміною класу напруги 6 кВ на 20 кВ та перепідключення на ПС.                                                                                                          3. Використання автоматичної системи з обліку електроенергії з використанням технологій Smart Grid.   </t>
  </si>
  <si>
    <t>1.1.2.</t>
  </si>
  <si>
    <t>Будівництво підстанції "Пролісок" з реконфігурацією мережі зі зміною класу напруги 6/10 кВ на 20 кВ м. Дніпро</t>
  </si>
  <si>
    <t>1, 2, 5, 9, 10</t>
  </si>
  <si>
    <t xml:space="preserve">СПР ст.110  ТЕО будівництва ПС "Красногвардійська" 2014 рік;                                                                             ТЕО "Реконструкція підстанції "Пролісок" з реконфігурацією мережі зі зміною класу напруги 6/10 кВ на 20 кВ" 2017 рік                                                                                                                         </t>
  </si>
  <si>
    <t xml:space="preserve">1. Будівництво ПС  закритого типу - чотириповерхова будівля:                                                                                                              - схема ЗРУ-150 кВ  «блок лінія – трансформатор» з неавтоматичною ремонтною перемичкою з боку ліні, з двома елегазовими вимикачами в колах трансформаторів; 
- встановлення 2-х силових трансформаторів одиничною потужністю 40 МВА з розщепленою обмоткою низької напруги;
- реконструкція розподільчого пристрою 150 кВ магістральної ПС 330 кВ «Дніп-ровська» з розширенням на два лінійних приєднання з встановленням елегазових вимикачів;                                                                                                                                     
- телемеханіка;                                                                                                                               - спорудження ЛЕП-150 кВ у дволанцюговому виконанні  «Дніпровська – Пролісок» довжиною 9,5 км;
2. Реконфігурація мережі зі зміною класу напруги 6/10 кВ на 20 кВ, підключення до ПС (на 2025-2029 роки). </t>
  </si>
  <si>
    <t>1.2.1.</t>
  </si>
  <si>
    <t>Будівництво (реконструкція) ТП, РП з переводом на напругу 20 кВ м. Вільногірськ</t>
  </si>
  <si>
    <t>СПР ст.103, 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</si>
  <si>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з реконфігурацією мережі зі зміною класу напруги 6 кВ на 20 кВ та перепідключення на ПС.  </t>
  </si>
  <si>
    <t>1.3.1.</t>
  </si>
  <si>
    <t>Будівництво ЛЕП 150 кВ до ПС 150/20 кВ м.Вільногірськ</t>
  </si>
  <si>
    <t>2/0,23</t>
  </si>
  <si>
    <t>1, 5, 10</t>
  </si>
  <si>
    <t xml:space="preserve">ЛЕП-150 кВ заплановано в дволанцюговому виконанні протяжністю по трасі 230 м проводом АС-240 для підключення безпосередньо до шин 150 кВ ПС 330 кВ ВДГМК ДП «НЕК «Укренерго»  підстанції 150/20 кВ «Вільногірська» </t>
  </si>
  <si>
    <t>1.3.2.</t>
  </si>
  <si>
    <t>Будівництво ЛЕП 150 кВ до ПС 150/6(20) кВ «Пролісок»</t>
  </si>
  <si>
    <t>2/9,5</t>
  </si>
  <si>
    <t>1, 2, 3, 5, 10</t>
  </si>
  <si>
    <t xml:space="preserve">СПР ст.110, ТЕО "Реконструкція підстанції "Пролісок" з реконфігурацією мережі зі зміною класу напруги 6/10 кВ на 20 кВ" 2017 рік   </t>
  </si>
  <si>
    <t>Будівництво дволанцюгової ЛЕП 150 кВ по трасі 9,5 км для підключення підстанції ПС 150/6(20) кВ «Пролісок» від ПС 330 кВ «Дніпровська»</t>
  </si>
  <si>
    <t>1.4.1.</t>
  </si>
  <si>
    <t>Будівництво ЛЕП 35 кВ  до ПС «С-35» 35/6 кВ м.Жовті Води</t>
  </si>
  <si>
    <t>2/4,45</t>
  </si>
  <si>
    <t>1, 2, 5</t>
  </si>
  <si>
    <t xml:space="preserve">Будівництво двоколової ЛЕП-35 кВ та перепідключення ПС «С-35» 35/6 кВ до ПЛ-35 кВЛ-К-31, Л-К-32 ПрАТ «ПЕЕМ «ЦЕК». </t>
  </si>
  <si>
    <t xml:space="preserve">СПР ст.24, Акт технічного опосвідчення від 03.05.2019 р. </t>
  </si>
  <si>
    <t xml:space="preserve">СПР ст.24, Акт технічного опосвідчення від 02.04.2019 р. </t>
  </si>
  <si>
    <t>2.1.3.</t>
  </si>
  <si>
    <t>СПР ст.27, Акт технічного опосвідчення від 02.04.2019 р.</t>
  </si>
  <si>
    <t>2.1.5.</t>
  </si>
  <si>
    <t>Технічне переоснащення ПС-154/35/6 кВ «КПО»</t>
  </si>
  <si>
    <t>СПР ст.24, 62, Акт технічного опосвідчення від 19.05.2017 р.</t>
  </si>
  <si>
    <t>2.1.6.</t>
  </si>
  <si>
    <t>СПР ст. 25, Акт технічного опосвідчення від 20.05.2017 р.</t>
  </si>
  <si>
    <t>2.1.7.</t>
  </si>
  <si>
    <t>Технічне переоснащення ПС-150/6/6 кВ «ПЗТО»</t>
  </si>
  <si>
    <t>СПР ст.26, Акт технічного опосвідчення від 22.05.2017 р.</t>
  </si>
  <si>
    <t>2.1.8.</t>
  </si>
  <si>
    <t>Технічне переоснащення ПС-150/10/6 кВ «ПМЗ»</t>
  </si>
  <si>
    <t>СПР ст.27, Акт технічного опосвідчення від 22.05.2017 р.</t>
  </si>
  <si>
    <t>2.2.2.</t>
  </si>
  <si>
    <t>СПР ст.30, 125,147</t>
  </si>
  <si>
    <t>СПР ст.34, 150, Акт технічного опосвідчення від 2019 р.</t>
  </si>
  <si>
    <t>2.2.4.</t>
  </si>
  <si>
    <t>2.2.5.</t>
  </si>
  <si>
    <t>ПЛ-150 кВ Л-0-10-А/Л-0-11-А</t>
  </si>
  <si>
    <t>2.4.1.</t>
  </si>
  <si>
    <t>ПЛ-35 кВ Л-Інг-31</t>
  </si>
  <si>
    <t>СПР ст. 64, 101, Акт дефектів від 18.04.2016р.</t>
  </si>
  <si>
    <t>Повна реконструкція ПЛ-35 кВ в існуючому створі на нових фундаментах, на нових з/б проміжних та металевих анкерних опорах. Запроектувати також нове обладнання ПЛ: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</si>
  <si>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2.4.2.</t>
  </si>
  <si>
    <t>ПЛ-35 кВ Л-МКР-31</t>
  </si>
  <si>
    <t>СПР ст. 64, 101, Акт дефектів від 12.05.2016р.</t>
  </si>
  <si>
    <t>Реконструкція ПЛ-35 кВ: 
- встановлення нової ПЛ-35 кВ в  створі існуючої ПЛ-35 кВ Л-МКР-31;
- згідно ПУЕ 2017 року п. 2.5.86 та відповідно табл.2.5.16 з урахуванням, що ПЛ-35 кВ Л-МКР-31 не є відгалуженням від існуючих магістральних ліній застосувати сталеалюмінієвий провід марки АС-120 (підтвердити розрахунком);
- лінійна арматура повинна бути захищена гарячим цинкуванням;
- кріплення проводу, на перетинаннях через залізниці, шляхи з твердим дорожнім покриттям, ПЛЕП, ПЛЗ, через різні наземні трубопроводи і споруди для транспортування нафти, газу, аміаку і т.і., а також при проходженні ПЛ по населеній місцевості, виконати двох-ланцюговим як на проміжних так і на анкерних опорах;
- встановлення металевих уніфікованих опор - Анкерно-кутові, кінцеві опори, опори для відгалуження;
- для захисту від перенапруг на кінцевих опорах на кожну фазу встановити обмежувачі перенапруг ОПН-35;
- грозозахист ПЛ виконати тросом марки ТК-50 зі сталевих оцинкованих проволок.</t>
  </si>
  <si>
    <t>2.4.3.</t>
  </si>
  <si>
    <t>ПЛ-35 кВ Л-0-ЮЖ-31/Л-0-ЮЖ-32</t>
  </si>
  <si>
    <t>2/4,8</t>
  </si>
  <si>
    <t>СПР ст. 64, 101, Акт дефектів від 21.07.2017р.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</si>
  <si>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</si>
  <si>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2.4.4.</t>
  </si>
  <si>
    <t>СПР ст. 64, 102, Акт дефектів від 13.05.2017р.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</si>
  <si>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полімерна ізоляція, полімерні ОПН, лінійну арматуру та інше. Металоконструкції опор повинні бути обробленні гарячим цинкуванням.</t>
  </si>
  <si>
    <t>2.4.5.</t>
  </si>
  <si>
    <t>Будівництво (реконструкція) ПЛ-6 кВ з перводом на ПЛ-20 кВ м. Вільногірськ</t>
  </si>
  <si>
    <t>СПР ст.103,ТЕО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</si>
  <si>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ПрАТ "ПЕЕМ "ЦЕК" з реконфігурацією мережі зі зміною класу напруги 6 кВ на 20 кВ в м. Вільногірськ» </t>
  </si>
  <si>
    <t>2.4.6.</t>
  </si>
  <si>
    <t>Будівництво (реконструкція) КЛ-6 кВ з перводом на КЛ-20 кВ</t>
  </si>
  <si>
    <t>КСР ст.12, акти дефектів</t>
  </si>
  <si>
    <t>3.2.2.</t>
  </si>
  <si>
    <t>Будівництво КЛ -0,4 кВ до ж/б в м. Павлоград</t>
  </si>
  <si>
    <t>3.4.2.</t>
  </si>
  <si>
    <t>Будівництво ПЛ-10 кВ</t>
  </si>
  <si>
    <t>технічне переоснащення з заміною тр-рів 2х40 МВА</t>
  </si>
  <si>
    <t>Видано ТУ СЕС на 4,9 МВт-2018р.</t>
  </si>
  <si>
    <t>Видано ТУ СЕС на 11,6 МВт - 2018 р.</t>
  </si>
  <si>
    <t>Видано ТУ СЕС на 12,8 МВт - 2018р.</t>
  </si>
  <si>
    <t>Узагальнений технічний стан об'єктів електричних мереж системи розподілу (сценарій 1)</t>
  </si>
  <si>
    <t>Узагальнений технічний стан об'єктів електричних мереж системи розподілу (сценарій 2)</t>
  </si>
  <si>
    <t>Перелік та етапи виконання заходів ПРСР (сценарій 1)</t>
  </si>
  <si>
    <t>Перелік та етапи виконання заходів ПРСР (сценарій 2)</t>
  </si>
  <si>
    <t>Повна реконструкція ПЛ-150 кВ в існуючому створі на нових фундаментах та на нових металевих опорах, провід АС-185, полімерну ізоляцію, полімерні ОПН</t>
  </si>
  <si>
    <t xml:space="preserve"> Акт дефектів від 13.05.2018р</t>
  </si>
  <si>
    <t>ст.125</t>
  </si>
  <si>
    <t>Генеральний директор-</t>
  </si>
  <si>
    <t>Голова Правління</t>
  </si>
  <si>
    <t>2025 р.</t>
  </si>
  <si>
    <t>Модернізація лабораторії для перевірки комерційного обліку</t>
  </si>
  <si>
    <t>Обладнання, що не вимагає монтажу</t>
  </si>
  <si>
    <t>2.2.7</t>
  </si>
  <si>
    <t>2.2.9</t>
  </si>
  <si>
    <t>2.2.10</t>
  </si>
  <si>
    <t>2.2.11</t>
  </si>
  <si>
    <t>2.2.12</t>
  </si>
  <si>
    <t>3.3.3.</t>
  </si>
  <si>
    <t>Будівництво КЛ 0,4 кВ</t>
  </si>
  <si>
    <t>Реконструкція КЛ-6-10 кВ</t>
  </si>
  <si>
    <t>Величина навантаження, МВт, зима/літо на 2019 р.</t>
  </si>
  <si>
    <t>27,4/17,9</t>
  </si>
  <si>
    <t>10,6/5,8</t>
  </si>
  <si>
    <t>4,5/4,4</t>
  </si>
  <si>
    <t>3/1,81</t>
  </si>
  <si>
    <t>0,33/0,1</t>
  </si>
  <si>
    <t>5,2/1,6</t>
  </si>
  <si>
    <t>8,5/6,53</t>
  </si>
  <si>
    <t>16,7/12</t>
  </si>
  <si>
    <t>1/0,8</t>
  </si>
  <si>
    <t>0,6/0,2</t>
  </si>
  <si>
    <t>6/2,4</t>
  </si>
  <si>
    <t>1,1/0,4</t>
  </si>
  <si>
    <t>5,22/4,3</t>
  </si>
  <si>
    <t>1,33/1</t>
  </si>
  <si>
    <t>3,81/3,3</t>
  </si>
  <si>
    <t>0,6/0,1</t>
  </si>
  <si>
    <t>8,3/5,94</t>
  </si>
  <si>
    <t>0,51/0,32</t>
  </si>
  <si>
    <t>0,5/0,47</t>
  </si>
  <si>
    <t>0,4/0,18</t>
  </si>
  <si>
    <t>0,7/0,25</t>
  </si>
  <si>
    <t>1,3/0,33</t>
  </si>
  <si>
    <t>0,32/0,13</t>
  </si>
  <si>
    <t>4,5/1,26</t>
  </si>
  <si>
    <t>1,22/0,9</t>
  </si>
  <si>
    <t>0,5/0,1</t>
  </si>
  <si>
    <t>1,6/1,5</t>
  </si>
  <si>
    <t>1,9/0,21</t>
  </si>
  <si>
    <t xml:space="preserve">Технічне переоснащення  ПС "Сельстрой" </t>
  </si>
  <si>
    <t xml:space="preserve"> Технічне переоснащення трансфоматорної підстанції 154/35/6 кВ "КПО" </t>
  </si>
  <si>
    <t xml:space="preserve">Стан виконання БМР  </t>
  </si>
  <si>
    <t xml:space="preserve">Стан виконання ПВР </t>
  </si>
  <si>
    <t>Стан виконання ПВР</t>
  </si>
  <si>
    <t xml:space="preserve">Улаштування однофазних та трифазних вводів в будинки з застосуванням СІП та встановленням ФШО </t>
  </si>
  <si>
    <t>"Реконструкції з заміною МВ-150кВ на елегазові вимикачі 150 кВ на ПС 150/10/6кВ "ПЛМ"</t>
  </si>
  <si>
    <t xml:space="preserve"> "Технічне переоснащення  трансформаторної підстанції 150/10/6 кВ "ПЛМ" </t>
  </si>
  <si>
    <t xml:space="preserve"> Проектом передбачено:
- Реконструкція ВРУ-35 кВ;
- Організація обліку по стороні 35 кВ;
- Реконструкція ЗРУ-6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t>
  </si>
  <si>
    <t>4.5.4.</t>
  </si>
  <si>
    <t>Прогнозний технічний стан на початок 01.01.2021 р.</t>
  </si>
  <si>
    <t>Обсяги запланованих робіт на 2021 р.</t>
  </si>
  <si>
    <t>Технічне переоснащення ПС «Наклоноствольна 150/6 кВ» 2 етап</t>
  </si>
  <si>
    <t xml:space="preserve"> "Технічне переоснащення трансформаторної підстанції 35/6 кВ  "Стрічка"</t>
  </si>
  <si>
    <t xml:space="preserve"> "Технічне переоснащення трансформаторної підстанції 35/6 кВ  "ЦЗ"</t>
  </si>
  <si>
    <t>ТЕО -2017, коригування проекту 2024</t>
  </si>
  <si>
    <r>
      <t xml:space="preserve">2022-2025 </t>
    </r>
    <r>
      <rPr>
        <b/>
        <sz val="12"/>
        <color theme="1"/>
        <rFont val="Times New Roman"/>
        <family val="1"/>
        <charset val="204"/>
      </rPr>
      <t>(сценарій 2)</t>
    </r>
  </si>
  <si>
    <r>
      <t xml:space="preserve">2025-2027 </t>
    </r>
    <r>
      <rPr>
        <b/>
        <sz val="12"/>
        <color theme="1"/>
        <rFont val="Times New Roman"/>
        <family val="1"/>
        <charset val="204"/>
      </rPr>
      <t>(сценарій 2)</t>
    </r>
  </si>
  <si>
    <r>
      <t xml:space="preserve">2027-2029 </t>
    </r>
    <r>
      <rPr>
        <b/>
        <sz val="12"/>
        <color theme="1"/>
        <rFont val="Times New Roman"/>
        <family val="1"/>
        <charset val="204"/>
      </rPr>
      <t>(сценарій 2)</t>
    </r>
  </si>
  <si>
    <t>"Реконструкция ПС 35/6 кВ "С-35" м. Жовті Води, Дніпропетровської обл.</t>
  </si>
  <si>
    <t>Технічне переоснащення трансформаторної підстанції 35/6 кВ Молзавод"</t>
  </si>
  <si>
    <t>Проєктом передбачається:
- заміна обладнання ВРУ-35 кВ;
- організація обліку по стороні 35 кВ; 
- встановлення КРПЗ-6 кВ, перепідключення споживачів від існуючого ЗРУ-6 кВ до нового КРПЗ-6 кВ;
- телемеханіка, телеуправління, охоронна та пожежна сигналізація.</t>
  </si>
  <si>
    <t>Проєктом передбачається:
- заміна обладнання ВРУ-35 кВ;
- організація обліку по стороні 35 кВ; 
- реконструкція ЗРУ-6 кВ;
- телемеханіка, телеуправління, охоронна та пожежна сигналізація.</t>
  </si>
  <si>
    <t>Перелік об'єктів незавершеного будівництва,  реконструкції та технічного переоснащення системи розподілу станом на початок прогнозного періоду</t>
  </si>
  <si>
    <t>Найменування об'єктів</t>
  </si>
  <si>
    <t>Початок виконання ПВР (рік, місяць)</t>
  </si>
  <si>
    <t>Початок виконання БМР (рік, місяць)</t>
  </si>
  <si>
    <t>Затверджена кошторисна вартість,
тис. грн
(без ПДВ)</t>
  </si>
  <si>
    <t>Характер робіт (нове будівництво, реконструкція, технічне переоснащення)</t>
  </si>
  <si>
    <t>Пропозиції щодо подальшого використання (виконати, списати, продати тощо), зазначити роки</t>
  </si>
  <si>
    <t>технічне переоснащення</t>
  </si>
  <si>
    <t>виконати господарчим способом 2021</t>
  </si>
  <si>
    <t>реконструкція</t>
  </si>
  <si>
    <t>сценарій 2</t>
  </si>
  <si>
    <t>виконати в 2024 (сценарій 1)</t>
  </si>
  <si>
    <t>—</t>
  </si>
  <si>
    <t>_________________</t>
  </si>
  <si>
    <t>(або особа, яка виконує його обов'язки)</t>
  </si>
  <si>
    <t xml:space="preserve">    "____" ____________ 20___ року</t>
  </si>
  <si>
    <t xml:space="preserve">Головний бухгалтер </t>
  </si>
  <si>
    <t>Н.О. Марчук</t>
  </si>
  <si>
    <t>_______________________________</t>
  </si>
  <si>
    <t>ст.95</t>
  </si>
  <si>
    <t>ст.110</t>
  </si>
  <si>
    <t>ст.117</t>
  </si>
  <si>
    <t>ст.123</t>
  </si>
  <si>
    <t>ст.147</t>
  </si>
  <si>
    <t>Реконструкція КЛ 0,4 кВ в м. Дніпро</t>
  </si>
  <si>
    <t>Реконструкція ПЛ 0,4 кВ в м. Дніпро</t>
  </si>
  <si>
    <t xml:space="preserve"> "Технічне переоснащення трансформаторної підстанції 35/6 кВ  "НВ-ЦЗ"</t>
  </si>
  <si>
    <t xml:space="preserve"> "Технічне переоснащення трансформаторної підстанції 35/6 кВ "Палмаш" </t>
  </si>
  <si>
    <t>Реконструкція ПЛ 10-6 кВ</t>
  </si>
  <si>
    <t>2.2.8</t>
  </si>
  <si>
    <t>Технічне переоснащення трансформаторної підстанції 35/6 кВ "Молзавод"</t>
  </si>
  <si>
    <t>ст.113</t>
  </si>
  <si>
    <t>1,2,3</t>
  </si>
  <si>
    <t>1, 2, 5,9</t>
  </si>
  <si>
    <t>Технічний стан, СПР ст.36, 81, 98 Акт технічного опосвідчення від 22.05.2017 р.</t>
  </si>
  <si>
    <t>Технічний стан, СПР ст.32, 62, 81,  97 Акт технічного опосвідчення від 17.05.2017 р.</t>
  </si>
  <si>
    <t>1, 2, 3, 8, 9</t>
  </si>
  <si>
    <t xml:space="preserve">Технічний стан, СПР ст.33, 62, 81,  97 Акт технічного опосвідчення від 02.03.2019 </t>
  </si>
  <si>
    <t xml:space="preserve">Технічний стан, СПР ст.38, 62, 81,  99 Акт технічного опосвідчення від 15.04.2020 </t>
  </si>
  <si>
    <t>Проєктом передбачається:
- реконструкція ВРУ-35 кВ, ЗРУ-6 кВ з заміною обладнання, організація обліку; 
- телемеханіка, телеуправління, охоронна та пожежна сигналізація.</t>
  </si>
  <si>
    <t>Технічний стан, СПР ст.32, 62, 81,  96 Акт технічного опосвідчення від 22.05.17</t>
  </si>
  <si>
    <t>Технічний стан, СПР ст.32, 62, 81,  96 Акт технічного опосвідчення від 20.04.2017</t>
  </si>
  <si>
    <t>5.1</t>
  </si>
  <si>
    <t>5.2.1</t>
  </si>
  <si>
    <t>5.2.2</t>
  </si>
  <si>
    <t>5.2.3</t>
  </si>
  <si>
    <t>5.2.4</t>
  </si>
  <si>
    <t>Амортизаційні відрахування, прибуток на виробничі інвестиції, інші (економія ТВЕ), за перетоки реактивної е/е</t>
  </si>
  <si>
    <t>За перетоки реактивної е/е</t>
  </si>
  <si>
    <t>виконати в 2021-2022 (сценарій 1)</t>
  </si>
  <si>
    <t xml:space="preserve">                                                                                                                                                                                                                                                                                                                                                                                          (назва суміжного суб'єкта ОРЕ)
                                                                                                                                                                                                                                                                                                                           </t>
  </si>
  <si>
    <r>
      <t xml:space="preserve">План заходів по забезпеченню достатності обліку в ТКО, відповідно до вимог  Кодексу комерційного обліку електричної енергії (далі-ККО) </t>
    </r>
    <r>
      <rPr>
        <b/>
        <u/>
        <sz val="16"/>
        <rFont val="Times New Roman"/>
        <family val="1"/>
        <charset val="204"/>
      </rPr>
      <t>ПрАТ "ПЕЕМ "ЦЕК"</t>
    </r>
  </si>
  <si>
    <t xml:space="preserve">           </t>
  </si>
  <si>
    <t>№з/п</t>
  </si>
  <si>
    <t>Суміжний ОСР</t>
  </si>
  <si>
    <t>Найменування ТКО,облік е/е у яких не відповідає вимогам ККО</t>
  </si>
  <si>
    <t>Рівень напруги МБН</t>
  </si>
  <si>
    <t>Приєднана потужність S (повна)/ P (активна) ПС</t>
  </si>
  <si>
    <t>Існуючий облік (розрахунковий, не відповідає вимогам ККОЕЕ )</t>
  </si>
  <si>
    <t>Середньорічний обсяг е/е, що перетікає через ТКО, облік е/е у якій не відповідає вимогам ККО, МВт*год</t>
  </si>
  <si>
    <t>План заходів  по приведенню обліку е/е до вимог ККО</t>
  </si>
  <si>
    <t>Терміни виконання заходів  по приведенню обліку е/е до вимог ККО</t>
  </si>
  <si>
    <t>Обгрунтування технічної неможливості або економічної недоцільності заходів  по приведенню обліку е/е до вимог ККО</t>
  </si>
  <si>
    <t>Примітки</t>
  </si>
  <si>
    <t>причина не відповідності вимогам ККО</t>
  </si>
  <si>
    <t>рівень напруги існуючого обліку е.е.</t>
  </si>
  <si>
    <t xml:space="preserve"> ТС (кіл-ть/шт, тип, клас точності, термін повірки)</t>
  </si>
  <si>
    <t>ТН (кіл-ть/шт, тип, клас точності, термін повірки)</t>
  </si>
  <si>
    <t xml:space="preserve"> лічильники (кіл-ть/шт, тип, клас точності, термін повірки)</t>
  </si>
  <si>
    <t>примітки</t>
  </si>
  <si>
    <t xml:space="preserve">рівень напруги </t>
  </si>
  <si>
    <t xml:space="preserve"> заміна або встановлення ТС (кіл-ть/шт, тип, клас точності)</t>
  </si>
  <si>
    <t xml:space="preserve"> заміна або встановлення ТН (кіл-ть/шт, тип, клас точності)</t>
  </si>
  <si>
    <t xml:space="preserve"> заміна або встановлення лічильників (кіл-ть/шт, тип, клас точності)</t>
  </si>
  <si>
    <t>154 кВ</t>
  </si>
  <si>
    <t>АТ "ДТЕК Дніпровські електромережі"</t>
  </si>
  <si>
    <t>ПС- 154/35/6 кВ "КПО" ввід 35 кВ 1Т Т-31</t>
  </si>
  <si>
    <t>ВО не на комерційній межі (ККО п.5.1.4)</t>
  </si>
  <si>
    <t>2шт; ТВ-35-25; 0,5; ІІ.2015</t>
  </si>
  <si>
    <t>1 шт; НОМ-35-66; 0,5; II.2017</t>
  </si>
  <si>
    <t>1 шт; EPQS 122.22.17 LL; 0,5S; III.2012</t>
  </si>
  <si>
    <t>3 шт; CA-170,  0,2S/0,2S 10P/10P/10P</t>
  </si>
  <si>
    <t>3 шт; UTE-170, 0,2/0,2S/3P</t>
  </si>
  <si>
    <t>1 шт; EPQS-112-XX-2X-LL,  0,2S</t>
  </si>
  <si>
    <t>Організація ТКО на вводі 154 кВ Л-010А на 1Т</t>
  </si>
  <si>
    <t>2021-2025 р</t>
  </si>
  <si>
    <t>ПС- 154/35/6 кВ "КПО" ввід 6 кВ 1Т Т-61А</t>
  </si>
  <si>
    <t>2шт; ТПШЛ-10; 0,5S; І.2020</t>
  </si>
  <si>
    <t>1шт; НТМИ-1-6 У3; 0,5; II.2017</t>
  </si>
  <si>
    <t>1 шт,EPQS 122.22.17 LL, 0,5S, IV.2016</t>
  </si>
  <si>
    <t>ПС- 154/35/6 кВ "КПО" ввід 6 кВ 1Т Т-61Б</t>
  </si>
  <si>
    <t>ПС- 154/35/6 кВ "КПО" ввід 35 кВ 2Т Т-32</t>
  </si>
  <si>
    <t>2шт; ТВ-35-25; 0,5; ІI.2015</t>
  </si>
  <si>
    <t>1 шт,EPQS 122.22.17 LL, 0,5S, II.2016</t>
  </si>
  <si>
    <t>Організація ТКО на вводі 154 кВ Л-011А на 2Т</t>
  </si>
  <si>
    <t>ПС- 154/35/6 кВ "КПО" ввід 6 кВ 2Т Т-62А</t>
  </si>
  <si>
    <t>ПС- 154/35/6 кВ "КПО" ввід 6 кВ 2Т Т-62Б</t>
  </si>
  <si>
    <t>2шт; ТПШЛ-10; 0,5S; I.2020</t>
  </si>
  <si>
    <t>ПС -154/10/6 "ПЛМ" ввід 10 кВ Т-11 1Т</t>
  </si>
  <si>
    <t>3шт; ТПШЛ-10УЗ; 0,5S; I.2020</t>
  </si>
  <si>
    <t>1шт; НТМИ-10-66 У3; 0,5; I.2017</t>
  </si>
  <si>
    <t>3 шт; CA-170,  0,2S/0,2S 10P/10P</t>
  </si>
  <si>
    <t xml:space="preserve"> 3 шт; UTE-170; 0,2/0,2S/3P</t>
  </si>
  <si>
    <t>1 шт; EPQS-122.XX.XX.LL,  0,2S</t>
  </si>
  <si>
    <t>Організація ТКО навводі 154 кВ Л-011А на 1Т</t>
  </si>
  <si>
    <t>2021-2023 р</t>
  </si>
  <si>
    <t>ПС -154/10/6 "ПЛМ" ввід 6 кВ Т-61 1Т</t>
  </si>
  <si>
    <t>1шт; НТМИ-6-66 У3; 0,5; IІ.2018</t>
  </si>
  <si>
    <t>1 шт,EPQS 122.22.17 LL, 0,5S, IV.2010</t>
  </si>
  <si>
    <t>ПС -154/10/6 "ПЛМ" ввід 10 кВ Т-12 2Т</t>
  </si>
  <si>
    <t>1шт; НТМИ-10-66 У3; 0,5; ІІI.2018</t>
  </si>
  <si>
    <t>Організація ТКО на вводі 150 кВ Л-011А на 2 Т</t>
  </si>
  <si>
    <t>ПС -154/10/6 "ПЛМ" ввід 6 кВ Т-62 2Т</t>
  </si>
  <si>
    <t>1шт; НТМИ-6-66 ; 0,5; ІI.2018</t>
  </si>
  <si>
    <t>ПС-154/35/6 "ДШЗ-1" РУ-35кВ ком.Л-423</t>
  </si>
  <si>
    <t xml:space="preserve">2шт; ТФМ-35; 0,5; </t>
  </si>
  <si>
    <t>3шт; ЗНОМ-35; 0,5; II.2017</t>
  </si>
  <si>
    <t>1 шт,EPQS 122.23.17 LL, 0,5S, IІ.2018</t>
  </si>
  <si>
    <t>3 шт; IMB-170 300/5 ;  0,2S/0,2S/0,5/10P/10P</t>
  </si>
  <si>
    <t>3 шт; EMF-170;  0,2S/3P/3P</t>
  </si>
  <si>
    <t>Організація ТКО на  вводі 150 кВ Л-027 на 1Т</t>
  </si>
  <si>
    <t>2023-2025 р</t>
  </si>
  <si>
    <t>ПС-154/35/6 "ДШЗ-1" ввід 6 кВ 1Т</t>
  </si>
  <si>
    <t>2шт; IV.2013</t>
  </si>
  <si>
    <t>2шт; ЗНОЛП; 0,5; ІІ.2013</t>
  </si>
  <si>
    <t>1 шт,EPQS 122.23.17 LL, 0,5S, IІ.2016</t>
  </si>
  <si>
    <t>ПС-154/35/6 "ДШЗ-1" РУ-35кВ ком.Л-424</t>
  </si>
  <si>
    <t>2шт; ТФМ-35; 0,5;</t>
  </si>
  <si>
    <t>3 шт. IMB-170 300/5  0,2S/0,2S/0,5/10P/10P</t>
  </si>
  <si>
    <t>Організація ТКО на  вводі 154 кВ Л-013А на 2Т</t>
  </si>
  <si>
    <t>ПС-154/35/6 "ДШЗ-1" РУ-35кВ ком.Л-426</t>
  </si>
  <si>
    <t>ПС-154/35/6 "ДШЗ-1"  ввід 6 кВ 2Т</t>
  </si>
  <si>
    <t>ПС- 150/6 кВ "ПЗТО" ввід 6 кВ 1Т Т-61А</t>
  </si>
  <si>
    <t>3шт; ТПШЛ-10УЗ; І.2018</t>
  </si>
  <si>
    <t>1шт; НТМИ-6-66; 0,5; ІІ.2017</t>
  </si>
  <si>
    <t>1 шт,EPQS 122.23.17 LL, 0,5S,ІI.2016</t>
  </si>
  <si>
    <t>Організація ТКО на  вводі 154 кВ ЛЗТО-1 на 1 Т</t>
  </si>
  <si>
    <t>2024-2025 р</t>
  </si>
  <si>
    <t>ПС- 150/6 кВ "ПЗТО" ввід 6 кВ 2Т Т-62А</t>
  </si>
  <si>
    <t>1шт; НТМИ-6-66УЗ; 0,5; ІІ.2017</t>
  </si>
  <si>
    <t>1 шт,EPQS 122.22.17 LL, 0,5S,ІV.2010</t>
  </si>
  <si>
    <t>ПС- 150/6 кВ "ПЗТО" ввід 6 кВ 1Т Т-61Б</t>
  </si>
  <si>
    <t>Організація ТКО на  вводі 154 кВ ЛЗТО-2 на 2Т</t>
  </si>
  <si>
    <t>ПС- 150/6 кВ "ПЗТО" ввід 6 кВ 2Т Т-62Б</t>
  </si>
  <si>
    <t>35 кВ</t>
  </si>
  <si>
    <t>ПС- 35/6 кВ "Чешка" ввід 6 кВ 1Т Т-61</t>
  </si>
  <si>
    <t>2шт; ТПЛМ-10; 0,5S; IІ.2019</t>
  </si>
  <si>
    <t>1шт; НТМИ-6 У3; 0,5; II.2016</t>
  </si>
  <si>
    <t>1 шт,EPQS 122.22.17 LL, 0,5S, III.2016</t>
  </si>
  <si>
    <t xml:space="preserve"> 3 шт; TPO-35  0,2S/0,5/10P/10P</t>
  </si>
  <si>
    <t>3 шт; TJO 7;  0,5/6P</t>
  </si>
  <si>
    <t>Організація ТКО на вводі 35 кВ  Л-0-326А на 1Т, 2Т</t>
  </si>
  <si>
    <t>2022 р</t>
  </si>
  <si>
    <t>ПС- 35/6 кВ "Чешка" ввід 6 кВ 2Т Т-62</t>
  </si>
  <si>
    <t>3шт; ТПОЛ-10-3; 0,5S; IІ.2017</t>
  </si>
  <si>
    <t>1шт; НАМИ--1-6 ; 0,5; II.2017</t>
  </si>
  <si>
    <t>1 шт,EPQS 123.22.17 LL, 0,5S, II.2012</t>
  </si>
  <si>
    <t>ПС- 35/10 кВ "Луч" ввід 10 кВ 1Т Л-49</t>
  </si>
  <si>
    <t xml:space="preserve"> лічильник належить  ПРАТ ІНГЗК (ККО п.5.1.8)</t>
  </si>
  <si>
    <t>2шт; ТФЗМ-35А У1; 0,5S; IІ.2018</t>
  </si>
  <si>
    <t>3шт; ЗНОМ--35-65 У1 ; 0,5; II.2018</t>
  </si>
  <si>
    <t>1 шт,EА02RAL-P2B-4, 0,5S, I.2014</t>
  </si>
  <si>
    <t>Організація ТКО на вводі 35 кВ  Л-049 на 1Т</t>
  </si>
  <si>
    <t>2025 р</t>
  </si>
  <si>
    <t>ПС- 35/10 кВ "Луч" ввід 10 кВ 2Т Л-50</t>
  </si>
  <si>
    <t>1 шт,EА02RAL-P2B-4, 0,5S, ІІI.2010</t>
  </si>
  <si>
    <t>Організація ТКО на вводі 35 кВ  Л-050 на 2Т</t>
  </si>
  <si>
    <t>ПС- 35/6 кВ "Молзавод" ввід 6 кВ 1Т</t>
  </si>
  <si>
    <t>2шт; ТПЛ-10сУ3; 0,5S; IІІ.2016</t>
  </si>
  <si>
    <t>1шт; НТМИ-1-6 У3; 0,5; II.2016</t>
  </si>
  <si>
    <t>3шт; TPO-35 100/5 ; 0,5S/10P/10P</t>
  </si>
  <si>
    <t>3 шт; TJO 7 ; 0,5/6P</t>
  </si>
  <si>
    <t>1 шт; EPQS-122.23.17.LL,  0,5S</t>
  </si>
  <si>
    <t>Організація ТКО на вводі 35 кВ  Л-377 на 1Т</t>
  </si>
  <si>
    <t>ПС- 35/6 кВ "Молзавод" ввід 0,4 кВ ТВП-61</t>
  </si>
  <si>
    <t>-</t>
  </si>
  <si>
    <t>1 шт,EPQS 136.22.18LL, 1,0,S, IІІ.2011</t>
  </si>
  <si>
    <t>ПС- 35/6 кВ "Стрічка" ввід 6 кВ 1Т Т-61</t>
  </si>
  <si>
    <t>3шт; ТПОЛУ-10-1,4-4Г; 0,5S; I.2016</t>
  </si>
  <si>
    <t>1шт; НТМИ-1-6-66 У3; 0,5; II.2015</t>
  </si>
  <si>
    <t>1 шт,EPQS 122.22.17 LL, 0,5S, IІ.2016</t>
  </si>
  <si>
    <t>3 шт; TPO-35 200/5 0,5S/10P/10P</t>
  </si>
  <si>
    <t>Організація ТКО на вводі 35 кВ  ЛТФ-31 на 1Т</t>
  </si>
  <si>
    <t>2024 р</t>
  </si>
  <si>
    <t>ПС- 35/6 кВ "Стрічка" ввід 0,4 кВ ТВП-61</t>
  </si>
  <si>
    <t>3шт; Т-0,66УЗ; 0,5S; ІІ. 2016</t>
  </si>
  <si>
    <t>1 шт,EPQS 123.22.17 LL, 0,5S, IІ.2016</t>
  </si>
  <si>
    <t>ПС- 35/6 кВ "Стрічка" ввід 6 кВ 2Т Т-62</t>
  </si>
  <si>
    <t>3шт; ТПОЛУ-10-1,4-4Г; 0,5S; I.2017</t>
  </si>
  <si>
    <t>1шт; НТМИ-1-6-66 ; 0,5; IV.2015</t>
  </si>
  <si>
    <t>3 шт;TPO-35 200/5  0,5S/10P/10P</t>
  </si>
  <si>
    <t>Організація ТКО на вводі 35 кВ  ЛТФ-32 на 2Т</t>
  </si>
  <si>
    <t>ПС- 35/6 кВ "Стрічка" ввід 0,4 кВ ТВП-62</t>
  </si>
  <si>
    <t>2 шт,EPQS 122.22.17 LL, 0,5S, IІІ.2012</t>
  </si>
  <si>
    <t>ПС- 35/6 кВ "НВ-ЦЗ" ввід 6 кВ 1Т Т-61</t>
  </si>
  <si>
    <t>2 шт; ТПЛ-10 ;0,5 ; ІІІ.2015</t>
  </si>
  <si>
    <t>1шт; НТМИ-6 ; 0,5; IІІ.2015</t>
  </si>
  <si>
    <t>3 шт; TPO-35 40/5  0,5S/10P/10P</t>
  </si>
  <si>
    <t>Організація ТКО на вводі 35 кВ  Л-578 на 1Т</t>
  </si>
  <si>
    <t>2021 р</t>
  </si>
  <si>
    <t>ПС- 35/6 кВ "НВ-ЦЗ" ввід 0,4 кВ ТВП-61</t>
  </si>
  <si>
    <t>1 шт,EPQS 136.22.18LL, 1,0,S, IІ.2011</t>
  </si>
  <si>
    <t>ПС- 35/6 кВ "ЦЗ" ввід 6 кВ 1Т Т-61</t>
  </si>
  <si>
    <t>2 шт; ТПЛ-10 ;0,5 ; ІІ.2017</t>
  </si>
  <si>
    <t>1шт; НТМИ-6-66УЗ ; 0,5; IІ.2017</t>
  </si>
  <si>
    <t>3 шт; TPO-35 100/5  0,5/0,5S/5P/10P</t>
  </si>
  <si>
    <t>Організація ТКО на вводі 35 кВ  Л-0-384 на 1Т  Т-31</t>
  </si>
  <si>
    <t>ПС- 35/6 кВ "ЦЗ" ввід 0,4 кВ ТВП-61</t>
  </si>
  <si>
    <t>ПС- 35/6 кВ "ЦЗ" ввід 6 кВ 2Т Т-62</t>
  </si>
  <si>
    <t>2 шт; ТПЛУ-10.1.2-2В ;0,5 ; ІV.2018</t>
  </si>
  <si>
    <t>Організація ТКО на вводі 35 кВ  Л-0-385 на 2Т  Т-32</t>
  </si>
  <si>
    <t>ПС- 35/6 кВ "ЦЗ" ввід 0,4 кВ ТВП-62</t>
  </si>
  <si>
    <t>ПС- 35/6 кВ "Рахманово" ввід 6 кВ 1Т Т-61</t>
  </si>
  <si>
    <t>2 шт; ТПЛУ-10 ;0,5 ; ІІІ.2016</t>
  </si>
  <si>
    <t>1шт; НТМИ-6 ; 0,5; ІIІ.2016</t>
  </si>
  <si>
    <t>1 шт,EPQS 122.22.17 LL, 0,5S, IІ.2011</t>
  </si>
  <si>
    <t>3 шт; TPO-35 100/5  0,2S/0,5/10P/10P</t>
  </si>
  <si>
    <t>Організація ТКО на вводі 35 кВ  Л-ЮЖ-31 на 1Т</t>
  </si>
  <si>
    <t>ПС- 35/6 кВ "Рахманово" ввід 6 кВ 2Т Т-62</t>
  </si>
  <si>
    <t>1шт; НТМИ-1-6УЗ; 0,5; ІIІ.2016</t>
  </si>
  <si>
    <t>1 шт,EPQS 122.22.17 LL, 0,5S, I.2011</t>
  </si>
  <si>
    <t>Організація ТКО на вводі 35 кВ  Л-ЮЖ-32 на 2Т</t>
  </si>
  <si>
    <t>ПС- 35/6 кВ "Палмаш" ввід 6 кВ 1Т Т-61</t>
  </si>
  <si>
    <t>3 шт; ТПЛ-10 ;0,5 ; ІІ.2019</t>
  </si>
  <si>
    <t>1шт; НТМИ-6-66; 0,5;  ІІ.2020 брак</t>
  </si>
  <si>
    <t>1 шт,EPQS 122.23.17 LL, 0,5S, ІI.2016</t>
  </si>
  <si>
    <t>3 шт; TPO-35 300/5  0,2S/0,5/10P/10P</t>
  </si>
  <si>
    <t>Організація ТКО на вводі ПЛ-35 кВ  Л-0-411 на 1Т</t>
  </si>
  <si>
    <t>ПС- 35/6 кВ "Палмаш" ввід 6 кВ 2Т Т-62</t>
  </si>
  <si>
    <t>3 шт; ТПЛУ-10 ;0,5 ; ІІ.2019</t>
  </si>
  <si>
    <t>1шт; НТМИ-6; 0,5; ІІІ.2020 брак</t>
  </si>
  <si>
    <t>Організація ТКО на вводі ПЛ-35 кВ  Л-0-414 на 2Т</t>
  </si>
  <si>
    <t>ПС-35/10 кВ "Сельстрой" ввід 10 кВ 1Т</t>
  </si>
  <si>
    <t>2 шт; ТПОЛ-10УЗ ;0,5 ; І.2020</t>
  </si>
  <si>
    <t>1шт; НТМИ-10УЗ; 0,5; ІІ.2020</t>
  </si>
  <si>
    <t>3шт; TPO-35  ; 0,5S/10P/10P</t>
  </si>
  <si>
    <t>1 шт; EPQS-122.ХХ.ХХ.LL,  0,5S</t>
  </si>
  <si>
    <t>Організація ТКО на вводі ПЛ-35 кВ  Л-561 на 1Т</t>
  </si>
  <si>
    <t>ПС-35/10 кВ "Сельстрой" ввід 0,4кВ ТВП-31</t>
  </si>
  <si>
    <t>1 шт,EPQS 136.22.18LL, 1,0S, IІІ.2011</t>
  </si>
  <si>
    <t>ПС-35/10 кВ "Сельстрой" ввід 10 кВ 2Т</t>
  </si>
  <si>
    <t>Організація ТКО на вводі ПЛ-35 кВ  Л-562 на 2Т</t>
  </si>
  <si>
    <t>ПС-35/10 кВ "Сельстрой" ввід 0,4кВ ТВП-32</t>
  </si>
  <si>
    <t>ПС-35/6 кВ "ЖКК" ввід 6 кВ 1Т</t>
  </si>
  <si>
    <t>2 шт; ТПОЛ-10УЗ ;0,5 ; ІІІ.2019</t>
  </si>
  <si>
    <t>1шт; НТМИ-6-66УЗ; 0,5; ІІІ.2019</t>
  </si>
  <si>
    <t>1 шт,EPQS 122.22.17 LL, 0,5S,ІІI.2016</t>
  </si>
  <si>
    <t>Організація ТКО на вводі 35 кВ  Л-ЖКК-31 на 1Т</t>
  </si>
  <si>
    <t>2026 р</t>
  </si>
  <si>
    <t>ПС-35/6 кВ "ЖКК" ввід 0,4кВ ТВП-61</t>
  </si>
  <si>
    <t>ПС-35/6 кВ "ЖКК" ввід 6 кВ 2Т</t>
  </si>
  <si>
    <t>3шт; TPO-35 ; 0,5S/10P/10P</t>
  </si>
  <si>
    <t>Організація ТКО на вводі 35 кВ  Л-ЖКК-32 на 2Т</t>
  </si>
  <si>
    <t>ПС-35/6 кВ "ЖКК" ввід 0,4кВ ТВП-62</t>
  </si>
  <si>
    <t xml:space="preserve">н24.06.2020ужно заключение </t>
  </si>
  <si>
    <t xml:space="preserve"> Прибуток на виробничі інвестиції, за перетоки реактивної е/е, Амортизаційні відрахування, </t>
  </si>
  <si>
    <t>технічне переоснащення з заміною силового трансформаторав 150/10/6 кВ 1Т типу ТРДН-32000/150-70У1 на трансформатор типу ТДТН -40000/150 У1</t>
  </si>
  <si>
    <t>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аміна РЗА силових трансформаторів 1Т, 2Т на мікропроцесорні блоки захисту.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виробництва Sonnenshein.                                     Заміна силових трансформаторів 150/6 кВ 1Т, 2Т типу ТДГ-60000/150  на трансформатори типу ТДН-63000/150 У1.</t>
  </si>
  <si>
    <t>Заміна силового трансформатора 35/6 кВ 1Т типу ТМ-1600/35 на трансформатор типу ТМН-2500/35 У1, заміна маслозбірників 1Т.
Повна заміна обладнання 1 секції ВРУ-35 кВ та ЗРУ-6 кВ, ремонт будівлі ЗРУ-6 кВ, організація обліку по стороні 35 кВ, телемеханіка та телеуправлінн.</t>
  </si>
  <si>
    <t>Реконструкція ВРУ-35 кВ;
- організація обліку по стороні 35 кВ;
- реконструкція ЗРУ-6 кВ;                                                                                                       -заміна трансформатору 35/6 кВ 1Т типу ТМ-2500/35 на трансформатор типу ТМН-4000/35 У1;
- організація автоматизованої системи керування з видачею сигналів на диспетчерський пункт;
- організація системи сигналізації пожежної та периметральної охорони.</t>
  </si>
  <si>
    <t xml:space="preserve">Проектом передбачається:
- організація обліку по стороні 35 кВ; 
- телемеханіка, телеуправління.
- заміна обладнання ВРУ-35 з встановленням ВкВ; встановлення нових ТС та ТН 35 кВ, монтаж нових роз’єднувачів, заміна ошинування ВРУ-35 кВ;
- ретрофіт в існуючих комірок ЗРУ-6 кВ (виконати заміну МВ на ВВ;
- монтаж нових ТН, ТВП, ТВП підключити на секцію; 
- виконати перевірку захищеності обладнання ПС  від прямих ударів блискавки, при необхідності встановити додаткові блискавковідводи;
- встановити ШОТ,  захист приєднань 6 кВ виконати на базі мікропроцесорних блоків захисту, замінити панель управління МВ 35 кВ;
- заміна силових трансформаторів 35/6 кВ: 3Т  типу ТМ-2500/35 на трансформатор типу ТМН-2500/35 У1 та 4Т типу ТМ-3200/35 на трансформатор типу ТМН-2500/35 У1;                                                                                           - виконати заміну всієї кабельно-провідникової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</si>
  <si>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 xml:space="preserve"> Проектом передбачено:
- Реконструкція ВРУ-35 кВ;
- Організація обліку по стороні 35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                                                                                                  - заміна силового трансформатора 35/6 кВ типу ТМ-1800/35 на трансформатор типу ТМН-1600/35 У1</t>
  </si>
  <si>
    <t xml:space="preserve">Проектом передбачається:
- організація обліку по стороні 35 кВ;
- заміна обладнання ВРУ-35, встановлення ВкВ, встановлення нових ТС та ТН 35 кВ, монтаж нових роз’єднувачів, заміна ошинування ВРУ-35 кВ;                           - заміна силових трансформаторів 35/10 кВ 1Т, 2Т типу ТМН-4000-35/75-У1 на трансформатори типу ТМН-4000/35 У1;         
- заміна обладнання ЗРУ-10 кВ, заміна   МВ на ВВ, монтаж нових ТН-10 кВ;
- телемеханіка, телеуправління;
-  встановити ШОТ; 
- захист приєднань 10 кВ на базі мікропроцесорних блоків захисту;
- замінити панель управління ввідних вимикачів;
- виконати заміну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</si>
  <si>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5.2.5</t>
  </si>
  <si>
    <t>Інше (пристрої, обладнання)</t>
  </si>
  <si>
    <t>Технічне переоснащення  ПС:
- організація обліку по стороні 150 кВ; 
- заміна обладнання ВРУ-150, заміна порталів 150 кВ, ошинування, заміна ВД-КЗ 150 кВ на елегазові вимикачі, заміна роз’єднувачів; 
- на приєднанні 150 кВ ТС встановити типу IMB-170 виробництва АВВ, ТН з литою ізоляцією, підключення ТН-150 кВ виконати через роз’єднувачі;                       
- заміна обладнання ЗРУ-6 кВ, ретрофіт існуючих комірок з заміною МВ на вакуумні вимикачі, замінити ТВП, ШОТ, ЩПС;
- заміна силових трансформаторів 150/6/6 кВ 1Т, 2Т типу ТРДН-32000/150 У1 на трансформатори потужністю 40000 кВА кожний;
- заміна всієї кабельно–провідникової продукції під нове обладнання;
- релейний захист 150 кВ виконати на базі мікропроцесорних блоків захисту , замінити панель управління ввідних вимикачів, замінити панель ЦС, передбачити передачу вимикаючого імпульсу на ПС 330 кВ «Павлоградська»;
- виконати пожежну та охоронну сигналізацію підстанції, встановити  пости відеоспостереження;
- виконати заміну мережі освітлення ПС; 
- телемеханіка, телеуправління.</t>
  </si>
  <si>
    <t xml:space="preserve">Проектом передбачається:
- організація обліку по стороні 150 кВ;
- заміна обладнання ВРУ-150 кВ з заміною порталів та ошинування, з заміною силового трансформатора 150/10/6  кВ 4Т типу ТРДН-32000/150 У1 на трансформатор потужністю 40000 кВА, ремонт існуючого маслозбірника, маслостоків, масло приймача;
- заміна обладнання ЗРУ-10/6 кВ, ретрофіт існуючих комірок ЗРУ 10/6 кВ;
- заміна всієї кабельно–провідникової продукції під нове обладнання;
- релейний захист 150 кВ виконати на базі мікропроцесорних блоків захисту, замінити панель управління ввідних вимикачів;
- телемеханіка, телеуправління,.
</t>
  </si>
  <si>
    <t>ПЛ-35 кВ Л-САЗ</t>
  </si>
  <si>
    <t xml:space="preserve">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t>
  </si>
  <si>
    <t xml:space="preserve">Проектом передбачено:
-  Встановлення нового силового  трансформатора 35/6 кВ 2Т типу ТМН-4000/35 У1.                                                  
-  Монтаж  2 секції 35 кВ з вакуумним вимикачем.                                                                      -  монтаж 2 секції 6 кВ - встановлення шафи вводу КРПЗ 6 кВ з вакуумними вимикачамим .                             </t>
  </si>
  <si>
    <t xml:space="preserve">Амортизаційні відрахування  </t>
  </si>
  <si>
    <t>План інвестицій за джерелами фінансування (сценарій 1)</t>
  </si>
  <si>
    <t>№</t>
  </si>
  <si>
    <t>Показники капіталовкладень</t>
  </si>
  <si>
    <t>Джерела фінансування</t>
  </si>
  <si>
    <t>Власні кошти:</t>
  </si>
  <si>
    <t>1.1</t>
  </si>
  <si>
    <t>амортизаційні відрахування</t>
  </si>
  <si>
    <t>1.2</t>
  </si>
  <si>
    <t>1.3</t>
  </si>
  <si>
    <t>за перетоки реактивної е/е</t>
  </si>
  <si>
    <t>1.4</t>
  </si>
  <si>
    <t>інші (прибуток)</t>
  </si>
  <si>
    <t>1.5</t>
  </si>
  <si>
    <t>Залучені кошти:</t>
  </si>
  <si>
    <t>2.1</t>
  </si>
  <si>
    <t>кредити</t>
  </si>
  <si>
    <t>2.2</t>
  </si>
  <si>
    <t>фінансова допомога</t>
  </si>
  <si>
    <t>На забезпечення виконання додаткових робіт для надійного безпечного  та економічно ефективного функціонування системи розподілу ПрАТ "ПЕЕМ "ЦЕК", дотримання встановлених рівнів показників якості електропостачання на прогнозний період, забезпечення необхідної та достатньої  пропускної спроможності електромереж 20-150 кВ, забезпечення стабільної роботи електричних мереж необхідне наступне фінансування</t>
  </si>
  <si>
    <t>План інвестицій за джерелами фінансування (сценарій 2)</t>
  </si>
  <si>
    <t xml:space="preserve">Амортизаційні відрахування </t>
  </si>
  <si>
    <t>Амортизаційні відрахування, прибуток на виробничі інвестиції, за перетоки реактивної е/е</t>
  </si>
  <si>
    <t>Амортизаційні відрахування, прибуток на виробничі інвестиції, за перетоки реактивної е/е, інші (економія ТВЕ)</t>
  </si>
  <si>
    <t>Висновок Мінекоенерго
від ____________ №__________</t>
  </si>
  <si>
    <t>виконати в 2025 (сценарій 2)</t>
  </si>
  <si>
    <t xml:space="preserve"> Проектом передбачено:
- Реконструкція ВРУ-35 кВ;
- Організація обліку по стороні 35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                                                                                                  </t>
  </si>
  <si>
    <t>1,2,3,5,9</t>
  </si>
  <si>
    <t>1, 2, 3, 6,9</t>
  </si>
  <si>
    <t>Проєктом передбачено: повна заміна обладнання ВРУ-150/35 кВ та заміна силових трансформаторів 150/35/6 кВ 1Т, 2Т типу ТДТН-25000/150 на трансформатори типу ТДТН-40000/150 У1. Заміна відокремлювача та короткозамикача 150 кВ на елегазовий вимикач.   Заміна РЗА силових трансформаторів 1Т, 2Т на мікропроцесорні блоки захисту. Встановлення ком. 6 кВ, організація обліку по стороні 150 кВ.</t>
  </si>
  <si>
    <t>1, 2, 3, 4, 5, 6,9</t>
  </si>
  <si>
    <t>1, 2, 3,9</t>
  </si>
  <si>
    <t xml:space="preserve">Проектом передбачено:
-  Встановлення нового силового  трансформатора 35/6 кВ 2Т типу ТМН-4000/35 У1.                                                  
-  Монтаж нової 2 секції 35 кВ з вакуумним вимикачем.                                                                      - Монтаж 2 секції 6 кВ - встановлення шафи вводу КРПЗ 6 кВ з вакуумними вимикачамим .                             </t>
  </si>
  <si>
    <t>1, 2, 3, 8,9</t>
  </si>
  <si>
    <t xml:space="preserve">Заміна силових трансформаторів 35/6 кВ: 3Т  типу ТМ-2500/35 на трансформатор типу ТМН-2500/35 У1 та 4Т типу ТМ-3200/35 на трансформатор типу ТМН-2500/35 У1;                                                                                         </t>
  </si>
  <si>
    <t>1, 2, 8</t>
  </si>
  <si>
    <t>Залишок кошторисної вартості на  початок прогнозного (2021 рік)періоду,
тис. грн (без ПДВ)</t>
  </si>
  <si>
    <t>Винос лічильників електроенергії у населення з квартир на сходову клітину м. Павлоград, вул. Достоєвського, 2/1.</t>
  </si>
  <si>
    <t>Винос лічильників електроенергії у населення з квартир на сходову клітину м. Павлоград, вул. Сташкова, 25.</t>
  </si>
  <si>
    <t>Винос лічильників електроенергії у населення з квартир на сходову клітину м. Павлоград, вул. Сташкова, 27.</t>
  </si>
  <si>
    <t>Винос лічильників електроенергії у населення з квартир на сходову клітину м.Дніпро, вул. Д.Нечая, 5.</t>
  </si>
  <si>
    <t>Винос лічильників електроенергії у населення з квартир на сходову клітину м. Дніпро, вул. О. Поля,96.</t>
  </si>
  <si>
    <t>Реконструкція ПЛ 6кВ Л-5-29 від ком.14 ПС 35/6кВ №5 до ком.10 ПС 35/6кВ №29(з відгал)</t>
  </si>
  <si>
    <t>Реконструкції з заміною МВ-150кВ на елегазові вимикачі 150кВ на ПС 150/10/6кВ "ПЛМ" (коригований)</t>
  </si>
  <si>
    <t xml:space="preserve">Технічне переоснащення  ПС 150/10/6 кВ "ПЛМ </t>
  </si>
  <si>
    <t>Реконструкция ПС 35/6 кВ "С-35"</t>
  </si>
  <si>
    <t>Техническое переоснащение ПС Наклонноствольная</t>
  </si>
  <si>
    <t>Реконструкция ПС 150кВ "Красногвардейская"</t>
  </si>
  <si>
    <t>Реконструкція електричних мереж ПрАТ "ПЕЕМ "ЦЕК" з реконфігурацією мережі зі зміною класу напруги 6 кВ на 20 кВ м.Вільногірськ.</t>
  </si>
  <si>
    <t xml:space="preserve">Технічне переоснащення транформаторної підстанції   «ДШЗ-1» </t>
  </si>
  <si>
    <t>Технічне переоснащення трансфоматорної підстанції 154/35/6 кВ "КПО"</t>
  </si>
  <si>
    <t>Технічне переоснащення трансформаторної підстанції 35/6 кВ  "Стрічка"</t>
  </si>
  <si>
    <t>Технічне переоснащення трансформаторної підстанції 35/6 кВ  "Рахманово"</t>
  </si>
  <si>
    <t xml:space="preserve">Технічне переоснащення трансформаторної підстанції 35/6 кВ  "ЦЗ" </t>
  </si>
  <si>
    <t>виконати в 2023 (сценарій 1)</t>
  </si>
  <si>
    <t>Технічне переоснащення трансформаторної підстанції 35/6 кВ "Палмаш"</t>
  </si>
  <si>
    <t xml:space="preserve">Технічне переоснащення трансформаторної підстанції 35/6 кВ  "НВ-ЦЗ" </t>
  </si>
  <si>
    <t>Реконструкція повітряної лінії 35 кВ (одноколова)»  Л-МКР-31, ПС "Девладово-тягова"(ПАТ "Укрзалізниця") - ПС "Макорти", с. Макорти, Софіївський р-н, Дніпропетровська обл.</t>
  </si>
  <si>
    <t>Реконструкція кабельної лінії 0,4 кВ ТП-59 РБ-4 до буд. №2 по вул. Нова, м. Павлоград, Дніпропетровської обл.</t>
  </si>
  <si>
    <t>виконати в 2021 (сценарій 1)</t>
  </si>
  <si>
    <t>Реконструкція кабельної лінії 0,4кВ від ТП-71 РБ-4 до буд. №73 по вул. Шевченко  м. Павлоград,  Дніпропетровської області.</t>
  </si>
  <si>
    <t>Винесення КТП-5 2Т в центр навантаження та реконструкція повітряної лінії 0,4 кВ від РБ-1 та РБ-4 КПТ-5 2Т с. Надія Криворізького району.</t>
  </si>
  <si>
    <t>Реконструкція повітряно-кабельної лінії 6 кВ ПС-5 35/6 кВ ком. 27, ком. 28 – ПС-30 ком. 11, ком. 12, м. Жовті Води.</t>
  </si>
  <si>
    <t>виконати 2025-2028 (сценарій 1)</t>
  </si>
  <si>
    <t>Проєктом передбачено: заміна силових трансформаторів 150/35/6 кВ 1Т, 2Т типу ТДТНГ-25000/150 на трансформатори типу ТДТН-40000/150 У1, заміна обладнання та порталів ВРУ-150 кВ,ВРУ-35 кВ, організація обліку по стороні 35 кВ, телемеханіки та телеуправління, реконструкцыя ЗРУ-6 кВ</t>
  </si>
  <si>
    <t>Проєктом передбачено: заміна силових трансформаторів 150/35/6 кВ 1Т, 2Т типу ТДТНГ-25000/150 на трансформатори типу ТДТН-40000/150 У1, заміна обладнання та порталів ВРУ-150кВ, ВРУ-35 кВ, організація обліку по стороні 35 кВ, телемеханіки та телеуправління, реконструкцыя ЗРУ-6 кВ</t>
  </si>
  <si>
    <t>ст.141</t>
  </si>
  <si>
    <t>ст.100</t>
  </si>
  <si>
    <t>ст.103</t>
  </si>
  <si>
    <t>ст.115</t>
  </si>
  <si>
    <t>ст.116</t>
  </si>
  <si>
    <t>ст.120</t>
  </si>
  <si>
    <t>ст.129</t>
  </si>
  <si>
    <t>ст.131</t>
  </si>
  <si>
    <t>ст.135</t>
  </si>
  <si>
    <t>ст.138</t>
  </si>
  <si>
    <t>ст.143</t>
  </si>
  <si>
    <t>ст.50</t>
  </si>
  <si>
    <t>ст.54</t>
  </si>
  <si>
    <t>ст.145</t>
  </si>
  <si>
    <t>ст.  164</t>
  </si>
  <si>
    <t>ст.160</t>
  </si>
  <si>
    <t>ст.161</t>
  </si>
  <si>
    <t>ст.29,95</t>
  </si>
  <si>
    <t>ст.162</t>
  </si>
  <si>
    <t>ст.159</t>
  </si>
  <si>
    <t>Будівництво КЛ-0,4 кВ до житлового будинку в м. Павлоград. Розробка ПКД 2024 р.</t>
  </si>
  <si>
    <t xml:space="preserve">Будівництво розвантажувального КТП 6/0,4 кВ для переведення навантаження ПЛ-0,4 кВ в м. Жовті Води. Розробка ПКД 2021р.-2023р. </t>
  </si>
  <si>
    <t>Реконструкція КЛ-10 кВ в м. Кривий Ріг. Розробка ПКД 2024 р.</t>
  </si>
  <si>
    <t>Створюваний резерв потужності/ пропускної здатності, МВт</t>
  </si>
  <si>
    <t>Заміна панелей в РУ-0,4 кВ на  ЩО 90 та комірок КСОв РУ-6 кВ і силових  трансформаторів</t>
  </si>
  <si>
    <t>Реконструкція КЛ 0,4 кВ в м. Дніпро. Розробка ПКД 2021-2024 рр.</t>
  </si>
  <si>
    <t>Реконструкція КЛ-10 кВ в смт. Гвардійське. Розробка ПКД 2021-2024 рр.</t>
  </si>
  <si>
    <t>Реконструкція КЛ 6 кВ в м. Дніпро. Розробка ПКД 2021-2024 рр.</t>
  </si>
  <si>
    <t>Реконструкція ПЛ-10 кВ с.Орлівщина. Розробка ПКД 2021-2022 рр.</t>
  </si>
  <si>
    <t>Реконструкція КЛ 0,4 кВ смт. Дніпровське. Розробка ПКД 2021р-2023 р.</t>
  </si>
  <si>
    <t>Реконструкція ПЛ -0,4 кВ м. Жовті Води</t>
  </si>
  <si>
    <t>Заміна панелей в РУ-0,4 кВ на  ЩО 90 та комірок КСОв РУ-6 кВ і силових  трансформаторів. Розробка ПКД 2021-2025 рр.</t>
  </si>
  <si>
    <t>Реконструкція КЛ-6 кВ в м. Жовті Води. Розробка ПКД 2021-2023 рр.</t>
  </si>
  <si>
    <t>Реконструкція КЛ 0,4 кВ м. Жовті Води. Розробка ПКД 2021р.-2024р.</t>
  </si>
  <si>
    <t>Заміна панелей в РУ-0,4 кВ на  ЩО 90 та комірок КСОв РУ-6 кВ і силових  трансформаторів. Розробка ПКД 2021-2024 рр.</t>
  </si>
  <si>
    <t>Будівництво розвантажувального КТП-6/0,4 кВ  для переведення навантаження ПЛ-0,4 кВ до ж/б в м. Павлоград. Розробка ПКД 2021-2022 р.</t>
  </si>
  <si>
    <t>Будівництво КЛ-0,4 кВ  смт. Дніпровське. Розробка ПКД 2022 р.</t>
  </si>
  <si>
    <t>Будівництво двотрансформаторної КТП-6/2х250 кВА з АВР для переведенням навантаження ТП-9к в м. Дніпро. Розробка ПКД 2022 р.</t>
  </si>
  <si>
    <t>Будівництво КЛ -6 кВ в м. Дніпро. Розробка ПКД 2022-2024 рр.</t>
  </si>
  <si>
    <t xml:space="preserve">Будівництво КЛ -0,4 кВ в м. Дніпро. Розробка ПКД 2022 р. </t>
  </si>
  <si>
    <t xml:space="preserve">Заміна панелей в РУ-0,4 кВ на  ЩО 90 та комірок КСОв РУ-6 кВ і силових  трансформаторі. </t>
  </si>
  <si>
    <t>Будівництво  ПЛ-6 кВ в м. Жовті Води. Розробка ПКД 2023 р.</t>
  </si>
  <si>
    <t>виконати в 2022-2024 (сценарій 1)</t>
  </si>
  <si>
    <t>виконати 2024-2025 (сценарій 1)</t>
  </si>
  <si>
    <t>виконати в 2021 (сценарій 2)</t>
  </si>
  <si>
    <t>виконати 2023-2026 (сценарій 2)</t>
  </si>
  <si>
    <t>виконати в 2022-2023 (сценарій 2)</t>
  </si>
  <si>
    <t>2.1.3</t>
  </si>
  <si>
    <t>Реконструкція ПЛ-6 кВ . Розробка ПКД 2024 р.</t>
  </si>
  <si>
    <t xml:space="preserve"> "Технічне переоснащення трансформаторної підстанції 35/6 кВ  "Рахманово"</t>
  </si>
  <si>
    <t xml:space="preserve">Реконструкція ПЛ-6 кВ  </t>
  </si>
  <si>
    <t xml:space="preserve">Реконструкція ПЛ-10 кВ </t>
  </si>
  <si>
    <t xml:space="preserve">Будівництво ПЛ-10 кВ </t>
  </si>
  <si>
    <t>Будівництво розвантажувального КТП-6/0,4 кВ з заміною проводу АС на СІП існуючих ПЛ-0,4 кВ в м. Кривий Ріг.</t>
  </si>
  <si>
    <t>ст.119</t>
  </si>
  <si>
    <t>ст141</t>
  </si>
  <si>
    <t>ст.153</t>
  </si>
  <si>
    <t>ст.132</t>
  </si>
  <si>
    <t xml:space="preserve">(або особа, яка виконує його обов'язки)                  </t>
  </si>
  <si>
    <t>ст.  165</t>
  </si>
  <si>
    <t>ст.154</t>
  </si>
  <si>
    <t>ст.156</t>
  </si>
  <si>
    <t>ст. 142,165</t>
  </si>
  <si>
    <t>За перетоки реактивної е/е, прибуток на виробничі інвестиції</t>
  </si>
  <si>
    <t xml:space="preserve"> Прибуток на виробничі інвестиції</t>
  </si>
  <si>
    <t>тис.грн. без ПДВ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</si>
</sst>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0\ &quot;р.&quot;;[Red]\-#,##0\ &quot;р.&quot;"/>
    <numFmt numFmtId="165" formatCode="_-* #,##0.00\ _р_._-;\-* #,##0.00\ _р_._-;_-* &quot;-&quot;??\ _р_._-;_-@_-"/>
    <numFmt numFmtId="166" formatCode="0.0"/>
    <numFmt numFmtId="167" formatCode="#,##0.0_ ;[Red]\-#,##0.0\ "/>
    <numFmt numFmtId="168" formatCode="#,##0_ ;[Red]\-#,##0\ "/>
    <numFmt numFmtId="169" formatCode="#,##0.00_ ;[Red]\-#,##0.00\ "/>
    <numFmt numFmtId="170" formatCode="0.000"/>
    <numFmt numFmtId="171" formatCode="_-* #,##0.00\ _г_р_н_._-;\-* #,##0.00\ _г_р_н_._-;_-* &quot;-&quot;??\ _г_р_н_._-;_-@_-"/>
    <numFmt numFmtId="172" formatCode="_-* #,##0_-;\-* #,##0_-;_-* &quot;-&quot;??_-;_-@_-"/>
    <numFmt numFmtId="173" formatCode="0.0%"/>
    <numFmt numFmtId="174" formatCode="#,##0.000"/>
    <numFmt numFmtId="175" formatCode="#,##0.0"/>
    <numFmt numFmtId="176" formatCode="_-* #,##0.00\ _₽_-;\-* #,##0.00\ _₽_-;_-* &quot;-&quot;??\ _₽_-;_-@_-"/>
    <numFmt numFmtId="177" formatCode="0.0000"/>
    <numFmt numFmtId="178" formatCode="_-* #,##0.00000_-;\-* #,##0.00000_-;_-* &quot;-&quot;??_-;_-@_-"/>
  </numFmts>
  <fonts count="4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1"/>
      <name val="Times New Roman"/>
      <family val="1"/>
      <charset val="204"/>
    </font>
    <font>
      <sz val="11"/>
      <name val="Times New Roman"/>
      <family val="1"/>
      <charset val="204"/>
    </font>
    <font>
      <b/>
      <i/>
      <sz val="11"/>
      <name val="Times New Roman"/>
      <family val="1"/>
      <charset val="204"/>
    </font>
    <font>
      <sz val="11"/>
      <color rgb="FF000000"/>
      <name val="Times New Roman"/>
      <family val="1"/>
      <charset val="204"/>
    </font>
    <font>
      <sz val="12"/>
      <name val="Times New Roman"/>
      <family val="1"/>
      <charset val="204"/>
    </font>
    <font>
      <sz val="11"/>
      <color theme="1"/>
      <name val="Times New Roman"/>
      <family val="1"/>
      <charset val="204"/>
    </font>
    <font>
      <b/>
      <sz val="12"/>
      <name val="Times New Roman"/>
      <family val="1"/>
      <charset val="204"/>
    </font>
    <font>
      <sz val="10"/>
      <name val="Arial CE"/>
      <charset val="204"/>
    </font>
    <font>
      <sz val="10"/>
      <name val="PragmaticaCTT"/>
      <charset val="204"/>
    </font>
    <font>
      <sz val="10"/>
      <name val="Arial"/>
      <family val="2"/>
      <charset val="204"/>
    </font>
    <font>
      <sz val="10"/>
      <name val="Tahoma"/>
      <family val="2"/>
      <charset val="204"/>
    </font>
    <font>
      <sz val="14"/>
      <color theme="1"/>
      <name val="Times New Roman"/>
      <family val="2"/>
      <charset val="204"/>
    </font>
    <font>
      <sz val="11"/>
      <color rgb="FF000000"/>
      <name val="Calibri"/>
      <family val="2"/>
      <charset val="204"/>
    </font>
    <font>
      <sz val="12"/>
      <name val="Arial Cyr"/>
      <charset val="204"/>
    </font>
    <font>
      <b/>
      <sz val="14"/>
      <name val="Times New Roman"/>
      <family val="1"/>
      <charset val="204"/>
    </font>
    <font>
      <sz val="10"/>
      <name val="Times New Roman"/>
      <family val="1"/>
      <charset val="204"/>
    </font>
    <font>
      <b/>
      <sz val="16"/>
      <name val="Times New Roman"/>
      <family val="1"/>
      <charset val="204"/>
    </font>
    <font>
      <b/>
      <sz val="11"/>
      <color theme="1"/>
      <name val="Times New Roman"/>
      <family val="1"/>
      <charset val="204"/>
    </font>
    <font>
      <sz val="10"/>
      <color theme="1"/>
      <name val="Times New Roman"/>
      <family val="1"/>
      <charset val="204"/>
    </font>
    <font>
      <b/>
      <i/>
      <sz val="12"/>
      <name val="Times New Roman"/>
      <family val="1"/>
      <charset val="204"/>
    </font>
    <font>
      <b/>
      <sz val="11"/>
      <color indexed="8"/>
      <name val="Times New Roman"/>
      <family val="1"/>
      <charset val="204"/>
    </font>
    <font>
      <i/>
      <sz val="11"/>
      <name val="Times New Roman"/>
      <family val="1"/>
      <charset val="204"/>
    </font>
    <font>
      <b/>
      <sz val="12"/>
      <color theme="1"/>
      <name val="Times New Roman"/>
      <family val="1"/>
      <charset val="204"/>
    </font>
    <font>
      <sz val="8"/>
      <name val="Calibri"/>
      <family val="2"/>
      <scheme val="minor"/>
    </font>
    <font>
      <sz val="14"/>
      <name val="Times New Roman"/>
      <family val="1"/>
      <charset val="204"/>
    </font>
    <font>
      <b/>
      <sz val="10"/>
      <name val="Times New Roman"/>
      <family val="1"/>
      <charset val="204"/>
    </font>
    <font>
      <sz val="10"/>
      <name val="Times New Roman Cyr"/>
      <family val="1"/>
      <charset val="204"/>
    </font>
    <font>
      <sz val="11"/>
      <name val="Times New Roman Cyr"/>
      <family val="1"/>
      <charset val="204"/>
    </font>
    <font>
      <sz val="8"/>
      <name val="Times New Roman"/>
      <family val="1"/>
      <charset val="204"/>
    </font>
    <font>
      <sz val="10"/>
      <name val="Arial"/>
      <family val="2"/>
      <charset val="204"/>
    </font>
    <font>
      <b/>
      <u/>
      <sz val="16"/>
      <name val="Times New Roman"/>
      <family val="1"/>
      <charset val="204"/>
    </font>
    <font>
      <sz val="10"/>
      <color rgb="FF000000"/>
      <name val="Times New Roman"/>
      <family val="1"/>
      <charset val="204"/>
    </font>
    <font>
      <sz val="12"/>
      <color theme="1"/>
      <name val="Times New Roman"/>
      <family val="1"/>
      <charset val="204"/>
    </font>
    <font>
      <sz val="9"/>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s>
  <borders count="2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s>
  <cellStyleXfs count="34">
    <xf numFmtId="0" fontId="0" fillId="0" borderId="0"/>
    <xf numFmtId="0" fontId="6" fillId="0" borderId="0"/>
    <xf numFmtId="0" fontId="6" fillId="0" borderId="0"/>
    <xf numFmtId="0" fontId="6" fillId="0" borderId="0"/>
    <xf numFmtId="0" fontId="6" fillId="0" borderId="0"/>
    <xf numFmtId="0" fontId="14" fillId="0" borderId="0"/>
    <xf numFmtId="0" fontId="15" fillId="0" borderId="0"/>
    <xf numFmtId="0" fontId="6" fillId="0" borderId="0"/>
    <xf numFmtId="0" fontId="6" fillId="0" borderId="0"/>
    <xf numFmtId="0" fontId="6" fillId="0" borderId="0"/>
    <xf numFmtId="9" fontId="6" fillId="0" borderId="0" applyFont="0" applyFill="0" applyBorder="0" applyAlignment="0" applyProtection="0"/>
    <xf numFmtId="0" fontId="16" fillId="0" borderId="0"/>
    <xf numFmtId="0" fontId="6" fillId="0" borderId="0"/>
    <xf numFmtId="0" fontId="17" fillId="0" borderId="0"/>
    <xf numFmtId="0" fontId="16" fillId="0" borderId="0"/>
    <xf numFmtId="0" fontId="18" fillId="0" borderId="0"/>
    <xf numFmtId="0" fontId="16" fillId="0" borderId="0"/>
    <xf numFmtId="0" fontId="4" fillId="0" borderId="0"/>
    <xf numFmtId="0" fontId="19" fillId="0" borderId="0"/>
    <xf numFmtId="0" fontId="6" fillId="0" borderId="0"/>
    <xf numFmtId="0" fontId="5" fillId="0" borderId="0"/>
    <xf numFmtId="0" fontId="20" fillId="0" borderId="0"/>
    <xf numFmtId="0" fontId="15" fillId="0" borderId="0"/>
    <xf numFmtId="171" fontId="6" fillId="0" borderId="0" applyFont="0" applyFill="0" applyBorder="0" applyAlignment="0" applyProtection="0"/>
    <xf numFmtId="9" fontId="5" fillId="0" borderId="0" applyFont="0" applyFill="0" applyBorder="0" applyAlignment="0" applyProtection="0"/>
    <xf numFmtId="0" fontId="6" fillId="0" borderId="0"/>
    <xf numFmtId="0" fontId="3" fillId="0" borderId="0"/>
    <xf numFmtId="43" fontId="3" fillId="0" borderId="0" applyFont="0" applyFill="0" applyBorder="0" applyAlignment="0" applyProtection="0"/>
    <xf numFmtId="0" fontId="36" fillId="0" borderId="0"/>
    <xf numFmtId="43" fontId="5"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176" fontId="5" fillId="0" borderId="0" applyFont="0" applyFill="0" applyBorder="0" applyAlignment="0" applyProtection="0"/>
  </cellStyleXfs>
  <cellXfs count="576">
    <xf numFmtId="0" fontId="0" fillId="0" borderId="0" xfId="0"/>
    <xf numFmtId="0" fontId="8" fillId="0" borderId="0" xfId="1" applyFont="1" applyFill="1" applyBorder="1" applyAlignment="1">
      <alignment horizontal="center" vertical="center" wrapText="1"/>
    </xf>
    <xf numFmtId="0" fontId="8" fillId="0" borderId="0" xfId="1" applyFont="1" applyFill="1" applyAlignment="1">
      <alignment horizontal="center" vertical="center" wrapText="1"/>
    </xf>
    <xf numFmtId="0" fontId="7" fillId="2" borderId="2" xfId="1" applyFont="1" applyFill="1" applyBorder="1" applyAlignment="1">
      <alignment horizontal="center" vertical="center" wrapText="1"/>
    </xf>
    <xf numFmtId="0" fontId="7" fillId="2" borderId="2" xfId="1" applyFont="1" applyFill="1" applyBorder="1" applyAlignment="1"/>
    <xf numFmtId="0" fontId="8" fillId="2" borderId="0" xfId="1" applyFont="1" applyFill="1" applyAlignment="1">
      <alignment horizontal="center" vertical="center" wrapText="1"/>
    </xf>
    <xf numFmtId="0" fontId="7" fillId="3" borderId="2" xfId="1" applyFont="1" applyFill="1" applyBorder="1" applyAlignment="1">
      <alignment horizontal="center" vertical="center" wrapText="1"/>
    </xf>
    <xf numFmtId="0" fontId="7" fillId="3" borderId="2" xfId="1" applyFont="1" applyFill="1" applyBorder="1" applyAlignment="1">
      <alignment vertical="center" wrapText="1"/>
    </xf>
    <xf numFmtId="0" fontId="7" fillId="3" borderId="2" xfId="1" applyFont="1" applyFill="1" applyBorder="1" applyAlignment="1"/>
    <xf numFmtId="0" fontId="7" fillId="3" borderId="2" xfId="1" applyFont="1" applyFill="1" applyBorder="1" applyAlignment="1">
      <alignment horizontal="center"/>
    </xf>
    <xf numFmtId="0" fontId="8" fillId="3" borderId="0" xfId="1" applyFont="1" applyFill="1" applyAlignment="1">
      <alignment horizontal="center" vertical="center" wrapText="1"/>
    </xf>
    <xf numFmtId="0" fontId="9" fillId="3" borderId="2" xfId="1" applyFont="1" applyFill="1" applyBorder="1" applyAlignment="1"/>
    <xf numFmtId="0" fontId="9" fillId="0" borderId="2" xfId="1" applyFont="1" applyFill="1" applyBorder="1" applyAlignment="1">
      <alignment horizontal="center"/>
    </xf>
    <xf numFmtId="0" fontId="8" fillId="0" borderId="2" xfId="2" applyFont="1" applyBorder="1" applyAlignment="1">
      <alignment horizontal="center" vertical="center" wrapText="1"/>
    </xf>
    <xf numFmtId="0" fontId="8" fillId="0" borderId="2" xfId="1" applyFont="1" applyFill="1" applyBorder="1" applyAlignment="1">
      <alignment horizontal="left" vertical="center" wrapText="1"/>
    </xf>
    <xf numFmtId="0" fontId="7" fillId="0" borderId="2" xfId="1" applyFont="1" applyFill="1" applyBorder="1" applyAlignment="1"/>
    <xf numFmtId="0" fontId="7" fillId="0" borderId="2" xfId="1" applyFont="1" applyFill="1" applyBorder="1" applyAlignment="1">
      <alignment horizontal="center"/>
    </xf>
    <xf numFmtId="0" fontId="9" fillId="0" borderId="2" xfId="2" applyFont="1" applyFill="1" applyBorder="1" applyAlignment="1">
      <alignment vertical="center" wrapText="1"/>
    </xf>
    <xf numFmtId="0" fontId="9" fillId="0" borderId="2" xfId="1" applyFont="1" applyFill="1" applyBorder="1" applyAlignment="1">
      <alignment horizontal="left" vertical="center" wrapText="1"/>
    </xf>
    <xf numFmtId="0" fontId="8" fillId="0" borderId="2" xfId="1" applyFont="1" applyFill="1" applyBorder="1" applyAlignment="1">
      <alignment horizontal="left" vertical="center"/>
    </xf>
    <xf numFmtId="0" fontId="7" fillId="2" borderId="2" xfId="1" applyFont="1" applyFill="1" applyBorder="1" applyAlignment="1">
      <alignment vertical="center"/>
    </xf>
    <xf numFmtId="0" fontId="7" fillId="2" borderId="2" xfId="1" applyFont="1" applyFill="1" applyBorder="1" applyAlignment="1">
      <alignment horizontal="center" vertical="center"/>
    </xf>
    <xf numFmtId="0" fontId="9" fillId="0" borderId="2" xfId="1" applyFont="1" applyFill="1" applyBorder="1" applyAlignment="1">
      <alignment horizontal="left" vertical="center"/>
    </xf>
    <xf numFmtId="0" fontId="9" fillId="0" borderId="2" xfId="2" applyFont="1" applyFill="1" applyBorder="1" applyAlignment="1">
      <alignment horizontal="left" vertical="top" wrapText="1"/>
    </xf>
    <xf numFmtId="0" fontId="7" fillId="0" borderId="0" xfId="1" applyFont="1" applyFill="1" applyAlignment="1">
      <alignment horizontal="center" vertical="center" wrapText="1"/>
    </xf>
    <xf numFmtId="0" fontId="7" fillId="2" borderId="2" xfId="1" applyFont="1" applyFill="1" applyBorder="1" applyAlignment="1">
      <alignment horizontal="left" vertical="center"/>
    </xf>
    <xf numFmtId="167" fontId="7" fillId="2" borderId="2" xfId="1" applyNumberFormat="1" applyFont="1" applyFill="1" applyBorder="1" applyAlignment="1">
      <alignment horizontal="center" vertical="center"/>
    </xf>
    <xf numFmtId="0" fontId="7" fillId="0" borderId="2" xfId="1" applyFont="1" applyFill="1" applyBorder="1" applyAlignment="1">
      <alignment horizontal="center" vertical="center"/>
    </xf>
    <xf numFmtId="166" fontId="7" fillId="0" borderId="2" xfId="2" applyNumberFormat="1" applyFont="1" applyFill="1" applyBorder="1" applyAlignment="1">
      <alignment horizontal="center" vertical="center" wrapText="1"/>
    </xf>
    <xf numFmtId="0" fontId="7" fillId="0" borderId="2" xfId="1" applyFont="1" applyFill="1" applyBorder="1" applyAlignment="1">
      <alignment vertical="center"/>
    </xf>
    <xf numFmtId="167" fontId="7" fillId="0" borderId="2" xfId="2"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wrapText="1"/>
    </xf>
    <xf numFmtId="49" fontId="8" fillId="3" borderId="2" xfId="1" applyNumberFormat="1" applyFont="1" applyFill="1" applyBorder="1" applyAlignment="1">
      <alignment horizontal="center" vertical="center" wrapText="1"/>
    </xf>
    <xf numFmtId="0" fontId="8" fillId="3" borderId="2" xfId="1" applyFont="1" applyFill="1" applyBorder="1" applyAlignment="1">
      <alignment horizontal="left" vertical="center" wrapText="1"/>
    </xf>
    <xf numFmtId="0" fontId="9" fillId="3" borderId="2" xfId="1" applyFont="1" applyFill="1" applyBorder="1" applyAlignment="1">
      <alignment horizontal="center"/>
    </xf>
    <xf numFmtId="0" fontId="8" fillId="3" borderId="2" xfId="2" applyFont="1" applyFill="1" applyBorder="1" applyAlignment="1">
      <alignment horizontal="center" vertical="center" wrapText="1"/>
    </xf>
    <xf numFmtId="0" fontId="9" fillId="3" borderId="2" xfId="1" applyFont="1" applyFill="1" applyBorder="1" applyAlignment="1">
      <alignment horizontal="left" vertical="center" wrapText="1"/>
    </xf>
    <xf numFmtId="0" fontId="8" fillId="0" borderId="2" xfId="2" applyFont="1" applyFill="1" applyBorder="1" applyAlignment="1">
      <alignment wrapText="1"/>
    </xf>
    <xf numFmtId="0" fontId="9" fillId="0" borderId="3" xfId="1" applyFont="1" applyFill="1" applyBorder="1" applyAlignment="1">
      <alignment horizontal="center"/>
    </xf>
    <xf numFmtId="0" fontId="7" fillId="0" borderId="0" xfId="1" applyFont="1" applyFill="1" applyBorder="1" applyAlignment="1">
      <alignment horizontal="left" vertical="center"/>
    </xf>
    <xf numFmtId="0" fontId="9" fillId="0" borderId="0" xfId="1" applyFont="1" applyFill="1" applyBorder="1" applyAlignment="1">
      <alignment horizontal="center"/>
    </xf>
    <xf numFmtId="2" fontId="9" fillId="0" borderId="0" xfId="1" applyNumberFormat="1" applyFont="1" applyFill="1" applyBorder="1" applyAlignment="1">
      <alignment horizontal="center"/>
    </xf>
    <xf numFmtId="0" fontId="8" fillId="0" borderId="0" xfId="3" applyFont="1" applyFill="1"/>
    <xf numFmtId="0" fontId="8" fillId="0" borderId="0" xfId="3" applyFont="1" applyFill="1" applyBorder="1"/>
    <xf numFmtId="0" fontId="8" fillId="0" borderId="0" xfId="1" applyFont="1" applyAlignment="1" applyProtection="1">
      <alignment horizontal="center" vertical="center"/>
    </xf>
    <xf numFmtId="0" fontId="8" fillId="0" borderId="0" xfId="4" applyFont="1" applyProtection="1"/>
    <xf numFmtId="0" fontId="8" fillId="0" borderId="0" xfId="4" applyFont="1" applyBorder="1" applyProtection="1"/>
    <xf numFmtId="0" fontId="8" fillId="0" borderId="0" xfId="1" applyFont="1" applyBorder="1" applyAlignment="1">
      <alignment horizontal="center" vertical="center" wrapText="1"/>
    </xf>
    <xf numFmtId="0" fontId="8" fillId="0" borderId="0" xfId="1" applyFont="1" applyAlignment="1">
      <alignment horizontal="center"/>
    </xf>
    <xf numFmtId="0" fontId="7" fillId="0" borderId="0" xfId="5" applyFont="1" applyBorder="1" applyAlignment="1" applyProtection="1">
      <alignment horizontal="left"/>
      <protection hidden="1"/>
    </xf>
    <xf numFmtId="0" fontId="8" fillId="0" borderId="0" xfId="5" applyFont="1" applyAlignment="1" applyProtection="1">
      <alignment horizontal="center" vertical="center"/>
      <protection hidden="1"/>
    </xf>
    <xf numFmtId="0" fontId="8" fillId="0" borderId="0" xfId="1" applyFont="1" applyFill="1"/>
    <xf numFmtId="0" fontId="8" fillId="0" borderId="0" xfId="5" applyFont="1" applyProtection="1">
      <protection hidden="1"/>
    </xf>
    <xf numFmtId="0" fontId="8" fillId="0" borderId="0" xfId="6" applyFont="1"/>
    <xf numFmtId="0" fontId="8" fillId="0" borderId="0" xfId="5" applyFont="1" applyAlignment="1" applyProtection="1">
      <protection hidden="1"/>
    </xf>
    <xf numFmtId="0" fontId="8" fillId="0" borderId="0" xfId="5" applyFont="1" applyAlignment="1" applyProtection="1">
      <alignment vertical="center"/>
      <protection hidden="1"/>
    </xf>
    <xf numFmtId="0" fontId="8" fillId="0" borderId="0" xfId="5" applyFont="1" applyAlignment="1" applyProtection="1">
      <alignment horizontal="left"/>
      <protection hidden="1"/>
    </xf>
    <xf numFmtId="0" fontId="8" fillId="0" borderId="0" xfId="5" applyFont="1" applyFill="1" applyAlignment="1" applyProtection="1">
      <alignment horizontal="left" indent="3"/>
      <protection hidden="1"/>
    </xf>
    <xf numFmtId="49" fontId="8" fillId="0" borderId="0" xfId="1" applyNumberFormat="1" applyFont="1" applyFill="1"/>
    <xf numFmtId="2" fontId="8" fillId="0" borderId="0" xfId="3" applyNumberFormat="1" applyFont="1" applyFill="1"/>
    <xf numFmtId="0" fontId="0" fillId="0" borderId="0" xfId="4" applyFont="1" applyProtection="1"/>
    <xf numFmtId="0" fontId="8" fillId="0" borderId="2" xfId="4" applyFont="1" applyFill="1" applyBorder="1" applyAlignment="1" applyProtection="1">
      <alignment wrapText="1"/>
    </xf>
    <xf numFmtId="0" fontId="6" fillId="3" borderId="0" xfId="4" applyFont="1" applyFill="1" applyProtection="1"/>
    <xf numFmtId="0" fontId="7" fillId="3" borderId="2" xfId="4" applyFont="1" applyFill="1" applyBorder="1" applyAlignment="1" applyProtection="1">
      <alignment horizontal="left" vertical="center" wrapText="1"/>
    </xf>
    <xf numFmtId="0" fontId="8" fillId="0" borderId="2" xfId="4" applyFont="1" applyFill="1" applyBorder="1" applyProtection="1"/>
    <xf numFmtId="0" fontId="7" fillId="3" borderId="2" xfId="4" applyFont="1" applyFill="1" applyBorder="1" applyAlignment="1" applyProtection="1">
      <alignment wrapText="1"/>
    </xf>
    <xf numFmtId="0" fontId="8" fillId="0" borderId="2" xfId="4" applyFont="1" applyFill="1" applyBorder="1" applyAlignment="1" applyProtection="1">
      <alignment horizontal="center" wrapText="1"/>
    </xf>
    <xf numFmtId="0" fontId="0" fillId="0" borderId="0" xfId="4" applyFont="1" applyAlignment="1" applyProtection="1">
      <alignment horizontal="center"/>
    </xf>
    <xf numFmtId="0" fontId="8" fillId="4" borderId="2" xfId="20" applyFont="1" applyFill="1" applyBorder="1" applyAlignment="1">
      <alignment horizontal="center" vertical="center"/>
    </xf>
    <xf numFmtId="170" fontId="8" fillId="0" borderId="2" xfId="20" applyNumberFormat="1" applyFont="1" applyFill="1" applyBorder="1" applyAlignment="1">
      <alignment horizontal="center" vertical="center"/>
    </xf>
    <xf numFmtId="1" fontId="8" fillId="0" borderId="2" xfId="20" applyNumberFormat="1" applyFont="1" applyFill="1" applyBorder="1" applyAlignment="1">
      <alignment horizontal="center" vertical="center"/>
    </xf>
    <xf numFmtId="0" fontId="22" fillId="0" borderId="0" xfId="4" applyFont="1" applyProtection="1"/>
    <xf numFmtId="0" fontId="11" fillId="0" borderId="0" xfId="4" applyFont="1" applyAlignment="1"/>
    <xf numFmtId="0" fontId="11" fillId="0" borderId="0" xfId="4" applyFont="1" applyAlignment="1">
      <alignment horizontal="left" vertical="top" wrapText="1"/>
    </xf>
    <xf numFmtId="0" fontId="13" fillId="0" borderId="0" xfId="4" applyFont="1" applyBorder="1" applyAlignment="1">
      <alignment horizontal="left" vertical="top" wrapText="1"/>
    </xf>
    <xf numFmtId="0" fontId="11" fillId="0" borderId="0" xfId="4" applyFont="1" applyAlignment="1">
      <alignment horizontal="center" vertical="top" wrapText="1"/>
    </xf>
    <xf numFmtId="0" fontId="13" fillId="0" borderId="3" xfId="4" applyFont="1" applyFill="1" applyBorder="1" applyAlignment="1" applyProtection="1">
      <alignment horizontal="left" vertical="center" wrapText="1"/>
    </xf>
    <xf numFmtId="0" fontId="13" fillId="0" borderId="2" xfId="4" applyFont="1" applyFill="1" applyBorder="1" applyAlignment="1" applyProtection="1">
      <alignment horizontal="left" vertical="center"/>
    </xf>
    <xf numFmtId="0" fontId="11" fillId="0" borderId="13" xfId="4" applyFont="1" applyFill="1" applyBorder="1" applyAlignment="1" applyProtection="1">
      <alignment horizontal="center" vertical="center"/>
    </xf>
    <xf numFmtId="1" fontId="11" fillId="0" borderId="10" xfId="4" applyNumberFormat="1" applyFont="1" applyFill="1" applyBorder="1" applyAlignment="1" applyProtection="1">
      <alignment horizontal="center" vertical="center"/>
      <protection locked="0"/>
    </xf>
    <xf numFmtId="0" fontId="11" fillId="0" borderId="10" xfId="4" applyFont="1" applyFill="1" applyBorder="1" applyAlignment="1" applyProtection="1">
      <alignment horizontal="center" vertical="center"/>
    </xf>
    <xf numFmtId="0" fontId="11" fillId="0" borderId="10" xfId="4" applyFont="1" applyFill="1" applyBorder="1" applyAlignment="1" applyProtection="1">
      <alignment horizontal="center" vertical="center"/>
      <protection locked="0"/>
    </xf>
    <xf numFmtId="0" fontId="11" fillId="0" borderId="9" xfId="4" applyFont="1" applyFill="1" applyBorder="1" applyAlignment="1" applyProtection="1">
      <alignment horizontal="center" vertical="center"/>
    </xf>
    <xf numFmtId="0" fontId="7" fillId="0" borderId="0" xfId="2" applyFont="1" applyAlignment="1">
      <alignment horizontal="center" vertical="center"/>
    </xf>
    <xf numFmtId="170" fontId="8" fillId="0" borderId="0" xfId="3" applyNumberFormat="1" applyFont="1" applyFill="1"/>
    <xf numFmtId="0" fontId="12" fillId="0" borderId="0" xfId="4" applyFont="1" applyProtection="1"/>
    <xf numFmtId="0" fontId="12" fillId="0" borderId="2" xfId="4" applyFont="1" applyBorder="1" applyAlignment="1" applyProtection="1">
      <alignment horizontal="center"/>
    </xf>
    <xf numFmtId="0" fontId="12" fillId="0" borderId="2" xfId="4" applyFont="1" applyBorder="1" applyAlignment="1" applyProtection="1">
      <alignment horizontal="center" vertical="center"/>
    </xf>
    <xf numFmtId="2" fontId="8" fillId="0" borderId="0" xfId="1" applyNumberFormat="1" applyFont="1" applyAlignment="1">
      <alignment horizontal="center" vertical="center" wrapText="1"/>
    </xf>
    <xf numFmtId="172" fontId="8" fillId="0" borderId="0" xfId="5" applyNumberFormat="1" applyFont="1" applyAlignment="1" applyProtection="1">
      <alignment vertical="center"/>
      <protection hidden="1"/>
    </xf>
    <xf numFmtId="0" fontId="9" fillId="2" borderId="2" xfId="1" applyFont="1" applyFill="1" applyBorder="1" applyAlignment="1">
      <alignment horizontal="center"/>
    </xf>
    <xf numFmtId="9" fontId="8" fillId="0" borderId="0" xfId="24" applyFont="1" applyFill="1" applyAlignment="1">
      <alignment horizontal="center" vertical="center" wrapText="1"/>
    </xf>
    <xf numFmtId="0" fontId="12" fillId="5" borderId="2" xfId="0" applyFont="1" applyFill="1" applyBorder="1" applyAlignment="1">
      <alignment horizontal="center" vertical="center"/>
    </xf>
    <xf numFmtId="0" fontId="12" fillId="0" borderId="2" xfId="0" applyFont="1" applyBorder="1" applyAlignment="1">
      <alignment horizontal="center" vertical="center"/>
    </xf>
    <xf numFmtId="0" fontId="24" fillId="5" borderId="2" xfId="0" applyFont="1" applyFill="1" applyBorder="1" applyAlignment="1">
      <alignment horizontal="center" vertical="center"/>
    </xf>
    <xf numFmtId="0" fontId="8" fillId="2" borderId="2" xfId="1" applyFont="1" applyFill="1" applyBorder="1" applyAlignment="1">
      <alignment horizontal="center" vertical="center" wrapText="1"/>
    </xf>
    <xf numFmtId="2" fontId="9" fillId="2" borderId="2" xfId="1" applyNumberFormat="1" applyFont="1" applyFill="1" applyBorder="1" applyAlignment="1">
      <alignment horizontal="center"/>
    </xf>
    <xf numFmtId="0" fontId="8" fillId="0" borderId="17" xfId="4" applyFont="1" applyFill="1" applyBorder="1" applyAlignment="1" applyProtection="1">
      <alignment horizontal="center" wrapText="1"/>
    </xf>
    <xf numFmtId="0" fontId="12" fillId="0" borderId="18" xfId="4" applyFont="1" applyBorder="1" applyAlignment="1" applyProtection="1">
      <alignment horizontal="center" vertical="center"/>
    </xf>
    <xf numFmtId="0" fontId="12" fillId="5" borderId="18" xfId="0" applyFont="1" applyFill="1" applyBorder="1" applyAlignment="1">
      <alignment horizontal="center" vertical="center"/>
    </xf>
    <xf numFmtId="0" fontId="12" fillId="0" borderId="18" xfId="0" applyFont="1" applyBorder="1" applyAlignment="1">
      <alignment horizontal="center" vertical="center"/>
    </xf>
    <xf numFmtId="0" fontId="24" fillId="5" borderId="18" xfId="0" applyFont="1" applyFill="1" applyBorder="1" applyAlignment="1">
      <alignment horizontal="center" vertical="center"/>
    </xf>
    <xf numFmtId="0" fontId="8" fillId="0" borderId="20" xfId="4" applyFont="1" applyFill="1" applyBorder="1" applyAlignment="1" applyProtection="1">
      <alignment wrapText="1"/>
    </xf>
    <xf numFmtId="1" fontId="9" fillId="2" borderId="2" xfId="1" applyNumberFormat="1" applyFont="1" applyFill="1" applyBorder="1" applyAlignment="1">
      <alignment horizontal="center"/>
    </xf>
    <xf numFmtId="0" fontId="7" fillId="0" borderId="2" xfId="20" applyFont="1" applyFill="1" applyBorder="1" applyAlignment="1">
      <alignment horizontal="center" vertical="center" wrapText="1"/>
    </xf>
    <xf numFmtId="0" fontId="7" fillId="0" borderId="2" xfId="20" applyFont="1" applyBorder="1" applyAlignment="1">
      <alignment horizontal="center" vertical="center" wrapText="1"/>
    </xf>
    <xf numFmtId="0" fontId="7" fillId="0" borderId="2" xfId="20" applyFont="1" applyBorder="1" applyAlignment="1">
      <alignment horizontal="left" vertical="center" wrapText="1"/>
    </xf>
    <xf numFmtId="0" fontId="10" fillId="0" borderId="0" xfId="12" applyFont="1" applyAlignment="1">
      <alignment horizontal="center"/>
    </xf>
    <xf numFmtId="0" fontId="8" fillId="0" borderId="2" xfId="20" applyFont="1" applyFill="1" applyBorder="1" applyAlignment="1">
      <alignment horizontal="center" vertical="center" wrapText="1"/>
    </xf>
    <xf numFmtId="170" fontId="8" fillId="4" borderId="2" xfId="20" applyNumberFormat="1" applyFont="1" applyFill="1" applyBorder="1" applyAlignment="1">
      <alignment horizontal="center" vertical="center"/>
    </xf>
    <xf numFmtId="0" fontId="8" fillId="0" borderId="2" xfId="12" applyFont="1" applyBorder="1" applyAlignment="1">
      <alignment horizontal="center"/>
    </xf>
    <xf numFmtId="0" fontId="8" fillId="0" borderId="0" xfId="12" applyFont="1" applyAlignment="1">
      <alignment horizontal="center"/>
    </xf>
    <xf numFmtId="0" fontId="8" fillId="0" borderId="0" xfId="12" applyFont="1" applyFill="1"/>
    <xf numFmtId="0" fontId="8" fillId="0" borderId="0" xfId="12" applyFont="1"/>
    <xf numFmtId="0" fontId="8" fillId="0" borderId="2" xfId="12" applyFont="1" applyFill="1" applyBorder="1"/>
    <xf numFmtId="0" fontId="8" fillId="0" borderId="2" xfId="12" applyFont="1" applyFill="1" applyBorder="1" applyAlignment="1">
      <alignment horizontal="center"/>
    </xf>
    <xf numFmtId="0" fontId="8" fillId="0" borderId="2" xfId="12" applyFont="1" applyFill="1" applyBorder="1" applyAlignment="1">
      <alignment horizontal="center" vertical="center"/>
    </xf>
    <xf numFmtId="170" fontId="8" fillId="0" borderId="2" xfId="12" applyNumberFormat="1" applyFont="1" applyFill="1" applyBorder="1" applyAlignment="1">
      <alignment horizontal="center" vertical="center"/>
    </xf>
    <xf numFmtId="0" fontId="8" fillId="0" borderId="0" xfId="12" applyFont="1" applyFill="1" applyAlignment="1">
      <alignment horizontal="center"/>
    </xf>
    <xf numFmtId="0" fontId="12" fillId="0" borderId="2" xfId="12" applyFont="1" applyBorder="1" applyAlignment="1">
      <alignment horizontal="center" vertical="center"/>
    </xf>
    <xf numFmtId="0" fontId="12" fillId="0" borderId="2" xfId="12" applyFont="1" applyBorder="1" applyAlignment="1">
      <alignment horizontal="center" vertical="center" wrapText="1"/>
    </xf>
    <xf numFmtId="0" fontId="12" fillId="0" borderId="2" xfId="12" applyFont="1" applyFill="1" applyBorder="1" applyAlignment="1">
      <alignment horizontal="center" vertical="center" wrapText="1"/>
    </xf>
    <xf numFmtId="0" fontId="8" fillId="4" borderId="2" xfId="4" applyFont="1" applyFill="1" applyBorder="1" applyAlignment="1">
      <alignment horizontal="left" vertical="center" wrapText="1"/>
    </xf>
    <xf numFmtId="0" fontId="8" fillId="4" borderId="2" xfId="4" applyFont="1" applyFill="1" applyBorder="1" applyAlignment="1">
      <alignment horizontal="center" vertical="center" wrapText="1"/>
    </xf>
    <xf numFmtId="0" fontId="8" fillId="0" borderId="2" xfId="12" applyFont="1" applyBorder="1" applyAlignment="1">
      <alignment horizontal="left" vertical="center" wrapText="1"/>
    </xf>
    <xf numFmtId="0" fontId="8" fillId="0" borderId="2" xfId="12" applyFont="1" applyBorder="1" applyAlignment="1">
      <alignment horizontal="center" vertical="center" wrapText="1"/>
    </xf>
    <xf numFmtId="0" fontId="10" fillId="0" borderId="2" xfId="12" applyFont="1" applyBorder="1" applyAlignment="1">
      <alignment vertical="center" wrapText="1"/>
    </xf>
    <xf numFmtId="0" fontId="10" fillId="0" borderId="2" xfId="12" applyFont="1" applyBorder="1" applyAlignment="1">
      <alignment horizontal="center" vertical="center" wrapText="1"/>
    </xf>
    <xf numFmtId="0" fontId="7" fillId="2" borderId="2" xfId="1" applyFont="1" applyFill="1" applyBorder="1" applyAlignment="1">
      <alignment horizontal="center"/>
    </xf>
    <xf numFmtId="0" fontId="8" fillId="0" borderId="2" xfId="12" applyFont="1" applyFill="1" applyBorder="1" applyAlignment="1">
      <alignment horizontal="center" vertical="center" wrapText="1"/>
    </xf>
    <xf numFmtId="0" fontId="9" fillId="0" borderId="2" xfId="12" applyFont="1" applyFill="1" applyBorder="1" applyAlignment="1">
      <alignment vertical="center" wrapText="1"/>
    </xf>
    <xf numFmtId="0" fontId="8" fillId="0" borderId="2" xfId="12" applyFont="1" applyFill="1" applyBorder="1" applyAlignment="1">
      <alignment horizontal="left" vertical="center" wrapText="1"/>
    </xf>
    <xf numFmtId="0" fontId="8" fillId="0" borderId="2" xfId="12" applyFont="1" applyFill="1" applyBorder="1" applyAlignment="1">
      <alignment vertical="center" wrapText="1"/>
    </xf>
    <xf numFmtId="0" fontId="26" fillId="0" borderId="2" xfId="12" applyFont="1" applyFill="1" applyBorder="1" applyAlignment="1">
      <alignment horizontal="left" vertical="top" wrapText="1"/>
    </xf>
    <xf numFmtId="167" fontId="8" fillId="0" borderId="0" xfId="1" applyNumberFormat="1" applyFont="1" applyFill="1" applyAlignment="1">
      <alignment horizontal="center" vertical="center" wrapText="1"/>
    </xf>
    <xf numFmtId="173" fontId="8" fillId="0" borderId="0" xfId="24" applyNumberFormat="1" applyFont="1" applyFill="1" applyAlignment="1">
      <alignment horizontal="center" vertical="center" wrapText="1"/>
    </xf>
    <xf numFmtId="10" fontId="8" fillId="0" borderId="0" xfId="24" applyNumberFormat="1" applyFont="1" applyFill="1" applyAlignment="1">
      <alignment horizontal="center" vertical="center" wrapText="1"/>
    </xf>
    <xf numFmtId="1" fontId="8" fillId="0" borderId="0" xfId="3" applyNumberFormat="1" applyFont="1" applyFill="1"/>
    <xf numFmtId="1" fontId="9" fillId="0" borderId="0" xfId="1" applyNumberFormat="1" applyFont="1" applyFill="1" applyBorder="1" applyAlignment="1">
      <alignment horizontal="center"/>
    </xf>
    <xf numFmtId="0" fontId="7" fillId="0" borderId="0" xfId="3" applyFont="1" applyFill="1"/>
    <xf numFmtId="0" fontId="8" fillId="0" borderId="10" xfId="1" applyFont="1" applyBorder="1" applyAlignment="1">
      <alignment horizontal="center" vertical="center" wrapText="1"/>
    </xf>
    <xf numFmtId="9" fontId="8" fillId="0" borderId="0" xfId="24" applyFont="1" applyAlignment="1" applyProtection="1">
      <alignment vertical="center"/>
      <protection hidden="1"/>
    </xf>
    <xf numFmtId="49" fontId="8" fillId="3" borderId="3" xfId="1" applyNumberFormat="1" applyFont="1" applyFill="1" applyBorder="1" applyAlignment="1">
      <alignment horizontal="center" vertical="center" wrapText="1"/>
    </xf>
    <xf numFmtId="0" fontId="8" fillId="3" borderId="3" xfId="1" applyFont="1" applyFill="1" applyBorder="1" applyAlignment="1">
      <alignment horizontal="left" vertical="center" wrapText="1"/>
    </xf>
    <xf numFmtId="0" fontId="9" fillId="3" borderId="3" xfId="1" applyFont="1" applyFill="1" applyBorder="1" applyAlignment="1">
      <alignment horizontal="center"/>
    </xf>
    <xf numFmtId="0" fontId="8" fillId="3" borderId="3" xfId="2"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0" fontId="8" fillId="0" borderId="6" xfId="1" applyFont="1" applyFill="1" applyBorder="1" applyAlignment="1">
      <alignment vertical="center" wrapText="1"/>
    </xf>
    <xf numFmtId="49" fontId="8" fillId="0" borderId="6" xfId="1" applyNumberFormat="1" applyFont="1" applyFill="1" applyBorder="1" applyAlignment="1">
      <alignment vertical="center" wrapText="1"/>
    </xf>
    <xf numFmtId="0" fontId="7" fillId="0" borderId="2" xfId="20" applyFont="1" applyFill="1" applyBorder="1" applyAlignment="1">
      <alignment horizontal="center" vertical="center" wrapText="1"/>
    </xf>
    <xf numFmtId="2" fontId="8" fillId="0" borderId="2" xfId="20" applyNumberFormat="1" applyFont="1" applyFill="1" applyBorder="1" applyAlignment="1">
      <alignment horizontal="center" vertical="center"/>
    </xf>
    <xf numFmtId="0" fontId="11" fillId="0" borderId="0" xfId="1" applyFont="1" applyFill="1" applyBorder="1" applyAlignment="1">
      <alignment horizontal="center" vertical="center" wrapText="1"/>
    </xf>
    <xf numFmtId="0" fontId="13" fillId="0" borderId="0" xfId="2" applyFont="1" applyAlignment="1">
      <alignment horizontal="center" vertical="center"/>
    </xf>
    <xf numFmtId="0" fontId="26" fillId="0" borderId="0" xfId="1" applyFont="1" applyFill="1" applyBorder="1" applyAlignment="1">
      <alignment horizontal="center"/>
    </xf>
    <xf numFmtId="0" fontId="11" fillId="0" borderId="0" xfId="1" applyFont="1" applyFill="1" applyAlignment="1">
      <alignment horizontal="center" vertical="center" wrapText="1"/>
    </xf>
    <xf numFmtId="0" fontId="11" fillId="0" borderId="0" xfId="1" applyFont="1" applyAlignment="1" applyProtection="1">
      <alignment horizontal="center" vertical="center"/>
    </xf>
    <xf numFmtId="0" fontId="11" fillId="0" borderId="0" xfId="3" applyFont="1" applyFill="1"/>
    <xf numFmtId="165" fontId="11" fillId="0" borderId="0" xfId="1" applyNumberFormat="1" applyFont="1" applyAlignment="1">
      <alignment vertical="center" wrapText="1"/>
    </xf>
    <xf numFmtId="0" fontId="11" fillId="0" borderId="0" xfId="1" applyFont="1" applyBorder="1" applyAlignment="1">
      <alignment horizontal="center" vertical="center" wrapText="1"/>
    </xf>
    <xf numFmtId="0" fontId="11" fillId="0" borderId="0" xfId="1" applyFont="1" applyAlignment="1">
      <alignment horizontal="center"/>
    </xf>
    <xf numFmtId="169" fontId="7" fillId="0" borderId="2" xfId="1" applyNumberFormat="1" applyFont="1" applyFill="1" applyBorder="1" applyAlignment="1">
      <alignment horizontal="center" vertical="center"/>
    </xf>
    <xf numFmtId="0" fontId="10" fillId="0" borderId="2" xfId="0" applyFont="1" applyBorder="1" applyAlignment="1">
      <alignment horizontal="center" vertical="center" wrapText="1"/>
    </xf>
    <xf numFmtId="0" fontId="8" fillId="0" borderId="2" xfId="4" applyFont="1" applyFill="1" applyBorder="1" applyAlignment="1" applyProtection="1">
      <alignment horizontal="center" vertical="center" wrapText="1"/>
      <protection locked="0"/>
    </xf>
    <xf numFmtId="0" fontId="8" fillId="0" borderId="18" xfId="4" applyFont="1" applyFill="1" applyBorder="1" applyAlignment="1" applyProtection="1">
      <alignment horizontal="center" vertical="center" wrapText="1"/>
      <protection locked="0"/>
    </xf>
    <xf numFmtId="0" fontId="7" fillId="0" borderId="2" xfId="1" applyFont="1" applyFill="1" applyBorder="1" applyAlignment="1">
      <alignment horizontal="center" vertical="center" wrapText="1"/>
    </xf>
    <xf numFmtId="49" fontId="8" fillId="0" borderId="6" xfId="1" applyNumberFormat="1" applyFont="1" applyFill="1" applyBorder="1" applyAlignment="1">
      <alignment horizontal="center" vertical="center" wrapText="1"/>
    </xf>
    <xf numFmtId="2" fontId="24" fillId="5" borderId="2" xfId="0" applyNumberFormat="1" applyFont="1" applyFill="1" applyBorder="1" applyAlignment="1">
      <alignment horizontal="center" vertical="center"/>
    </xf>
    <xf numFmtId="1" fontId="24" fillId="5" borderId="2" xfId="0" applyNumberFormat="1" applyFont="1" applyFill="1" applyBorder="1" applyAlignment="1">
      <alignment horizontal="center" vertical="center"/>
    </xf>
    <xf numFmtId="0" fontId="8" fillId="0" borderId="2" xfId="4" applyFont="1" applyFill="1" applyBorder="1" applyAlignment="1" applyProtection="1">
      <alignment vertical="center" wrapText="1"/>
    </xf>
    <xf numFmtId="0" fontId="0" fillId="0" borderId="0" xfId="8" applyFont="1"/>
    <xf numFmtId="0" fontId="22" fillId="0" borderId="2" xfId="8" applyFont="1" applyBorder="1" applyAlignment="1">
      <alignment horizontal="center" vertical="center" wrapText="1"/>
    </xf>
    <xf numFmtId="0" fontId="0" fillId="0" borderId="0" xfId="8" applyFont="1" applyAlignment="1">
      <alignment wrapText="1"/>
    </xf>
    <xf numFmtId="0" fontId="15" fillId="0" borderId="0" xfId="8" applyFont="1"/>
    <xf numFmtId="0" fontId="33" fillId="0" borderId="0" xfId="8" applyFont="1"/>
    <xf numFmtId="0" fontId="34" fillId="0" borderId="0" xfId="8" applyFont="1"/>
    <xf numFmtId="0" fontId="22" fillId="0" borderId="0" xfId="5" applyFont="1" applyProtection="1">
      <protection hidden="1"/>
    </xf>
    <xf numFmtId="0" fontId="12" fillId="0" borderId="2" xfId="0" applyFont="1" applyFill="1" applyBorder="1" applyAlignment="1">
      <alignment horizontal="center" vertical="center"/>
    </xf>
    <xf numFmtId="0" fontId="12" fillId="0" borderId="18" xfId="0" applyFont="1" applyFill="1" applyBorder="1" applyAlignment="1">
      <alignment horizontal="center" vertical="center"/>
    </xf>
    <xf numFmtId="2" fontId="12" fillId="0" borderId="2" xfId="0" applyNumberFormat="1" applyFont="1" applyFill="1" applyBorder="1" applyAlignment="1">
      <alignment horizontal="center" vertical="center"/>
    </xf>
    <xf numFmtId="2" fontId="12" fillId="0" borderId="18" xfId="0" applyNumberFormat="1" applyFont="1" applyFill="1" applyBorder="1" applyAlignment="1">
      <alignment horizontal="center" vertical="center"/>
    </xf>
    <xf numFmtId="0" fontId="25" fillId="0" borderId="2" xfId="0" applyFont="1" applyFill="1" applyBorder="1" applyAlignment="1">
      <alignment horizontal="center" vertical="center"/>
    </xf>
    <xf numFmtId="0" fontId="25" fillId="0" borderId="18" xfId="0" applyFont="1" applyFill="1" applyBorder="1" applyAlignment="1">
      <alignment horizontal="center" vertical="center"/>
    </xf>
    <xf numFmtId="166" fontId="12" fillId="0" borderId="2" xfId="0" applyNumberFormat="1" applyFont="1" applyFill="1" applyBorder="1" applyAlignment="1">
      <alignment horizontal="center" vertical="center"/>
    </xf>
    <xf numFmtId="1" fontId="12" fillId="0" borderId="2" xfId="0" applyNumberFormat="1" applyFont="1" applyFill="1" applyBorder="1" applyAlignment="1">
      <alignment horizontal="center" vertical="center"/>
    </xf>
    <xf numFmtId="1" fontId="12" fillId="0" borderId="18" xfId="0" applyNumberFormat="1" applyFont="1" applyFill="1" applyBorder="1" applyAlignment="1">
      <alignment horizontal="center" vertical="center"/>
    </xf>
    <xf numFmtId="0" fontId="12" fillId="0" borderId="20" xfId="0" applyFont="1" applyFill="1" applyBorder="1" applyAlignment="1">
      <alignment horizontal="center" vertical="center"/>
    </xf>
    <xf numFmtId="0" fontId="12" fillId="0" borderId="21" xfId="0" applyFont="1" applyFill="1" applyBorder="1" applyAlignment="1">
      <alignment horizontal="center" vertical="center"/>
    </xf>
    <xf numFmtId="0" fontId="11" fillId="0" borderId="2" xfId="8" applyFont="1" applyFill="1" applyBorder="1" applyAlignment="1">
      <alignment horizontal="left" vertical="center" wrapText="1"/>
    </xf>
    <xf numFmtId="0" fontId="8" fillId="0" borderId="2" xfId="4" applyFont="1" applyFill="1" applyBorder="1" applyAlignment="1">
      <alignment horizontal="left" vertical="center" wrapText="1"/>
    </xf>
    <xf numFmtId="49" fontId="8" fillId="0" borderId="2" xfId="4" applyNumberFormat="1" applyFont="1" applyFill="1" applyBorder="1" applyAlignment="1">
      <alignment horizontal="left" vertical="center" wrapText="1"/>
    </xf>
    <xf numFmtId="0" fontId="8" fillId="0" borderId="0" xfId="4" applyFont="1" applyFill="1" applyProtection="1"/>
    <xf numFmtId="0" fontId="11" fillId="0" borderId="0" xfId="1" applyFont="1" applyFill="1" applyAlignment="1">
      <alignment vertical="center" wrapText="1"/>
    </xf>
    <xf numFmtId="2" fontId="8" fillId="0" borderId="0" xfId="1" applyNumberFormat="1" applyFont="1" applyFill="1"/>
    <xf numFmtId="1" fontId="9" fillId="3" borderId="2" xfId="1" applyNumberFormat="1" applyFont="1" applyFill="1" applyBorder="1" applyAlignment="1">
      <alignment horizontal="center"/>
    </xf>
    <xf numFmtId="1" fontId="9" fillId="0" borderId="3" xfId="1" applyNumberFormat="1" applyFont="1" applyFill="1" applyBorder="1" applyAlignment="1">
      <alignment horizontal="center"/>
    </xf>
    <xf numFmtId="1" fontId="9" fillId="0" borderId="2" xfId="1" applyNumberFormat="1" applyFont="1" applyFill="1" applyBorder="1" applyAlignment="1">
      <alignment horizontal="center"/>
    </xf>
    <xf numFmtId="167" fontId="7" fillId="0" borderId="2" xfId="1" applyNumberFormat="1" applyFont="1" applyFill="1" applyBorder="1" applyAlignment="1">
      <alignment horizontal="center" vertical="center"/>
    </xf>
    <xf numFmtId="0" fontId="9" fillId="2" borderId="2" xfId="1" applyFont="1" applyFill="1" applyBorder="1" applyAlignment="1">
      <alignment horizontal="center" vertical="center"/>
    </xf>
    <xf numFmtId="0" fontId="9" fillId="3" borderId="2" xfId="1" applyFont="1" applyFill="1" applyBorder="1" applyAlignment="1">
      <alignment horizontal="center" vertical="center" wrapText="1"/>
    </xf>
    <xf numFmtId="0" fontId="8" fillId="0" borderId="0" xfId="3" applyFont="1" applyFill="1" applyBorder="1" applyAlignment="1">
      <alignment horizontal="center"/>
    </xf>
    <xf numFmtId="2" fontId="8" fillId="0" borderId="0" xfId="4" applyNumberFormat="1" applyFont="1" applyFill="1" applyBorder="1" applyAlignment="1" applyProtection="1">
      <alignment horizontal="center"/>
    </xf>
    <xf numFmtId="0" fontId="8" fillId="0" borderId="0" xfId="5" applyFont="1" applyAlignment="1" applyProtection="1">
      <alignment horizontal="center"/>
      <protection hidden="1"/>
    </xf>
    <xf numFmtId="0" fontId="8" fillId="0" borderId="0" xfId="1" applyFont="1" applyFill="1" applyAlignment="1">
      <alignment horizontal="center"/>
    </xf>
    <xf numFmtId="49" fontId="8" fillId="0" borderId="2" xfId="2" applyNumberFormat="1" applyFont="1" applyFill="1" applyBorder="1" applyAlignment="1">
      <alignment horizontal="center" vertical="center" wrapText="1"/>
    </xf>
    <xf numFmtId="0" fontId="28" fillId="0" borderId="2" xfId="1" applyFont="1" applyFill="1" applyBorder="1" applyAlignment="1">
      <alignment horizontal="center" vertical="center" wrapText="1"/>
    </xf>
    <xf numFmtId="0" fontId="9" fillId="2" borderId="2" xfId="1" applyFont="1" applyFill="1" applyBorder="1" applyAlignment="1"/>
    <xf numFmtId="0" fontId="9" fillId="0" borderId="2" xfId="1" applyFont="1" applyFill="1" applyBorder="1" applyAlignment="1"/>
    <xf numFmtId="0" fontId="9" fillId="2" borderId="2" xfId="1" applyFont="1" applyFill="1" applyBorder="1" applyAlignment="1">
      <alignment vertical="center"/>
    </xf>
    <xf numFmtId="167" fontId="9" fillId="2" borderId="2" xfId="1" applyNumberFormat="1" applyFont="1" applyFill="1" applyBorder="1" applyAlignment="1">
      <alignment horizontal="center" vertical="center"/>
    </xf>
    <xf numFmtId="167" fontId="9" fillId="0" borderId="2" xfId="1" applyNumberFormat="1" applyFont="1" applyFill="1" applyBorder="1" applyAlignment="1">
      <alignment horizontal="center" vertical="center"/>
    </xf>
    <xf numFmtId="0" fontId="9" fillId="0" borderId="0" xfId="1" applyFont="1" applyAlignment="1">
      <alignment horizontal="center" vertical="center" wrapText="1"/>
    </xf>
    <xf numFmtId="2" fontId="9" fillId="0" borderId="0" xfId="5" applyNumberFormat="1" applyFont="1" applyAlignment="1" applyProtection="1">
      <protection hidden="1"/>
    </xf>
    <xf numFmtId="0" fontId="9" fillId="0" borderId="0" xfId="1" applyFont="1" applyFill="1"/>
    <xf numFmtId="0" fontId="9" fillId="0" borderId="0" xfId="1" applyFont="1" applyFill="1" applyAlignment="1">
      <alignment horizontal="center" vertical="center" wrapText="1"/>
    </xf>
    <xf numFmtId="0" fontId="7" fillId="3" borderId="2" xfId="1" applyFont="1" applyFill="1" applyBorder="1"/>
    <xf numFmtId="167" fontId="8" fillId="0" borderId="6" xfId="2" applyNumberFormat="1" applyFont="1" applyBorder="1" applyAlignment="1">
      <alignment horizontal="center" vertical="center" wrapText="1"/>
    </xf>
    <xf numFmtId="167" fontId="7" fillId="0" borderId="2" xfId="1" applyNumberFormat="1" applyFont="1" applyBorder="1" applyAlignment="1">
      <alignment horizontal="center" vertical="center"/>
    </xf>
    <xf numFmtId="1" fontId="7" fillId="3" borderId="2" xfId="2" applyNumberFormat="1" applyFont="1" applyFill="1" applyBorder="1" applyAlignment="1">
      <alignment horizontal="center" vertical="center" wrapText="1"/>
    </xf>
    <xf numFmtId="0" fontId="23" fillId="0" borderId="0" xfId="28" applyFont="1" applyAlignment="1">
      <alignment wrapText="1"/>
    </xf>
    <xf numFmtId="0" fontId="36" fillId="0" borderId="0" xfId="28"/>
    <xf numFmtId="0" fontId="36" fillId="0" borderId="0" xfId="28" applyAlignment="1">
      <alignment horizontal="center"/>
    </xf>
    <xf numFmtId="0" fontId="11" fillId="0" borderId="0" xfId="28" applyFont="1" applyAlignment="1">
      <alignment horizontal="center"/>
    </xf>
    <xf numFmtId="0" fontId="31" fillId="0" borderId="0" xfId="28" applyFont="1" applyAlignment="1">
      <alignment horizontal="center"/>
    </xf>
    <xf numFmtId="0" fontId="36" fillId="0" borderId="0" xfId="28" applyAlignment="1">
      <alignment horizontal="center" vertical="center"/>
    </xf>
    <xf numFmtId="0" fontId="22" fillId="0" borderId="2" xfId="28" applyFont="1" applyBorder="1"/>
    <xf numFmtId="0" fontId="36" fillId="0" borderId="2" xfId="28" applyBorder="1"/>
    <xf numFmtId="0" fontId="11" fillId="0" borderId="2" xfId="28" applyFont="1" applyBorder="1" applyAlignment="1">
      <alignment horizontal="center"/>
    </xf>
    <xf numFmtId="0" fontId="11" fillId="0" borderId="2" xfId="28" applyFont="1" applyBorder="1" applyAlignment="1">
      <alignment wrapText="1"/>
    </xf>
    <xf numFmtId="0" fontId="11" fillId="0" borderId="2" xfId="28" applyFont="1" applyBorder="1"/>
    <xf numFmtId="0" fontId="11" fillId="0" borderId="2" xfId="28" applyFont="1" applyBorder="1" applyAlignment="1"/>
    <xf numFmtId="0" fontId="11" fillId="0" borderId="2" xfId="28" applyFont="1" applyFill="1" applyBorder="1" applyAlignment="1">
      <alignment horizontal="center"/>
    </xf>
    <xf numFmtId="0" fontId="11" fillId="0" borderId="2" xfId="28" applyFont="1" applyFill="1" applyBorder="1"/>
    <xf numFmtId="0" fontId="11" fillId="0" borderId="2" xfId="28" applyFont="1" applyFill="1" applyBorder="1" applyAlignment="1"/>
    <xf numFmtId="0" fontId="36" fillId="0" borderId="0" xfId="28" applyFill="1"/>
    <xf numFmtId="0" fontId="11" fillId="0" borderId="2" xfId="28" applyFont="1" applyFill="1" applyBorder="1" applyAlignment="1">
      <alignment vertical="center" wrapText="1"/>
    </xf>
    <xf numFmtId="0" fontId="11" fillId="0" borderId="2" xfId="28" applyFont="1" applyBorder="1" applyAlignment="1">
      <alignment horizontal="center" vertical="center"/>
    </xf>
    <xf numFmtId="0" fontId="11" fillId="0" borderId="2" xfId="28" applyFont="1" applyBorder="1" applyAlignment="1">
      <alignment horizontal="center" vertical="center" wrapText="1"/>
    </xf>
    <xf numFmtId="0" fontId="11" fillId="0" borderId="2" xfId="28" applyFont="1" applyBorder="1" applyAlignment="1">
      <alignment horizontal="center" wrapText="1"/>
    </xf>
    <xf numFmtId="0" fontId="11" fillId="0" borderId="2" xfId="28" applyFont="1" applyFill="1" applyBorder="1" applyAlignment="1">
      <alignment horizontal="center" vertical="center"/>
    </xf>
    <xf numFmtId="0" fontId="11" fillId="0" borderId="2" xfId="28" applyFont="1" applyFill="1" applyBorder="1" applyAlignment="1">
      <alignment horizontal="center" vertical="center" wrapText="1"/>
    </xf>
    <xf numFmtId="3" fontId="11" fillId="0" borderId="2" xfId="28" applyNumberFormat="1" applyFont="1" applyFill="1" applyBorder="1" applyAlignment="1">
      <alignment horizontal="center" vertical="center"/>
    </xf>
    <xf numFmtId="0" fontId="31" fillId="0" borderId="2" xfId="28" applyFont="1" applyBorder="1" applyAlignment="1">
      <alignment horizontal="center" vertical="center"/>
    </xf>
    <xf numFmtId="0" fontId="31" fillId="0" borderId="2" xfId="28" applyFont="1" applyBorder="1" applyAlignment="1">
      <alignment horizontal="center" vertical="center" wrapText="1"/>
    </xf>
    <xf numFmtId="0" fontId="16" fillId="0" borderId="2" xfId="28" applyFont="1" applyBorder="1" applyAlignment="1">
      <alignment horizontal="center" wrapText="1"/>
    </xf>
    <xf numFmtId="2" fontId="0" fillId="0" borderId="0" xfId="4" applyNumberFormat="1" applyFont="1" applyProtection="1"/>
    <xf numFmtId="0" fontId="9" fillId="0" borderId="2" xfId="2" applyFont="1" applyFill="1" applyBorder="1" applyAlignment="1">
      <alignment horizontal="center" vertical="center" wrapText="1"/>
    </xf>
    <xf numFmtId="0" fontId="7" fillId="0" borderId="0" xfId="1" applyFont="1" applyAlignment="1">
      <alignment horizontal="center" vertical="center" wrapText="1"/>
    </xf>
    <xf numFmtId="0" fontId="9" fillId="0" borderId="6" xfId="2" applyFont="1" applyFill="1" applyBorder="1" applyAlignment="1">
      <alignment horizontal="left" vertical="center" wrapText="1"/>
    </xf>
    <xf numFmtId="0" fontId="7" fillId="0" borderId="2" xfId="1" applyFont="1" applyFill="1" applyBorder="1" applyAlignment="1">
      <alignment horizontal="left" vertical="center"/>
    </xf>
    <xf numFmtId="0" fontId="9" fillId="0" borderId="2" xfId="2" applyFont="1" applyBorder="1" applyAlignment="1">
      <alignment horizontal="center" vertical="center" wrapText="1"/>
    </xf>
    <xf numFmtId="0" fontId="8" fillId="0" borderId="0" xfId="1" applyFont="1" applyAlignment="1">
      <alignment horizontal="center" vertical="center" wrapText="1"/>
    </xf>
    <xf numFmtId="0" fontId="11" fillId="0" borderId="0" xfId="1" applyFont="1" applyAlignment="1">
      <alignment horizontal="center" vertical="center" wrapText="1"/>
    </xf>
    <xf numFmtId="0" fontId="8" fillId="0" borderId="6" xfId="2" applyFont="1" applyFill="1" applyBorder="1" applyAlignment="1">
      <alignment horizontal="center" vertical="center" wrapText="1"/>
    </xf>
    <xf numFmtId="0" fontId="9" fillId="0" borderId="2" xfId="1" applyFont="1" applyFill="1" applyBorder="1" applyAlignment="1">
      <alignment horizontal="center" vertical="center" wrapText="1"/>
    </xf>
    <xf numFmtId="0" fontId="8" fillId="0" borderId="2" xfId="2" applyFont="1" applyFill="1" applyBorder="1" applyAlignment="1">
      <alignment horizontal="center" vertical="center" wrapText="1"/>
    </xf>
    <xf numFmtId="49" fontId="8" fillId="0" borderId="2" xfId="1" applyNumberFormat="1" applyFont="1" applyFill="1" applyBorder="1" applyAlignment="1">
      <alignment horizontal="center" vertical="center" wrapText="1"/>
    </xf>
    <xf numFmtId="0" fontId="8" fillId="0" borderId="2" xfId="1" applyFont="1" applyFill="1" applyBorder="1" applyAlignment="1">
      <alignment horizontal="center" vertical="center" wrapText="1"/>
    </xf>
    <xf numFmtId="0" fontId="8" fillId="0" borderId="6"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6" xfId="12" applyFont="1" applyFill="1" applyBorder="1" applyAlignment="1">
      <alignment horizontal="center" vertical="center" wrapText="1"/>
    </xf>
    <xf numFmtId="0" fontId="9" fillId="0" borderId="6" xfId="12" applyFont="1" applyFill="1" applyBorder="1" applyAlignment="1">
      <alignment horizontal="center" vertical="center" wrapText="1"/>
    </xf>
    <xf numFmtId="0" fontId="0" fillId="0" borderId="0" xfId="8" applyFont="1" applyFill="1"/>
    <xf numFmtId="0" fontId="0" fillId="0" borderId="0" xfId="8" applyFont="1" applyFill="1" applyAlignment="1">
      <alignment horizontal="center"/>
    </xf>
    <xf numFmtId="2" fontId="0" fillId="0" borderId="0" xfId="8" applyNumberFormat="1" applyFont="1" applyFill="1"/>
    <xf numFmtId="2" fontId="22" fillId="0" borderId="2" xfId="8" applyNumberFormat="1" applyFont="1" applyFill="1" applyBorder="1" applyAlignment="1">
      <alignment horizontal="center" vertical="center" wrapText="1"/>
    </xf>
    <xf numFmtId="0" fontId="0" fillId="0" borderId="0" xfId="8" applyFont="1" applyFill="1" applyAlignment="1">
      <alignment wrapText="1"/>
    </xf>
    <xf numFmtId="0" fontId="22" fillId="0" borderId="2" xfId="8" applyFont="1" applyFill="1" applyBorder="1" applyAlignment="1">
      <alignment horizontal="left" vertical="center" wrapText="1"/>
    </xf>
    <xf numFmtId="2" fontId="22" fillId="0" borderId="2" xfId="8" applyNumberFormat="1" applyFont="1" applyFill="1" applyBorder="1" applyAlignment="1">
      <alignment horizontal="center" vertical="center"/>
    </xf>
    <xf numFmtId="0" fontId="11" fillId="0" borderId="2" xfId="25" applyFont="1" applyFill="1" applyBorder="1" applyAlignment="1">
      <alignment horizontal="center"/>
    </xf>
    <xf numFmtId="0" fontId="15" fillId="0" borderId="0" xfId="8" applyFont="1" applyFill="1"/>
    <xf numFmtId="0" fontId="22" fillId="0" borderId="0" xfId="8" applyFont="1" applyFill="1"/>
    <xf numFmtId="0" fontId="22" fillId="0" borderId="0" xfId="8" applyFont="1" applyFill="1" applyAlignment="1">
      <alignment horizontal="center"/>
    </xf>
    <xf numFmtId="2" fontId="22" fillId="0" borderId="0" xfId="8" applyNumberFormat="1" applyFont="1" applyFill="1"/>
    <xf numFmtId="0" fontId="7" fillId="0" borderId="0" xfId="5" applyFont="1" applyFill="1" applyAlignment="1" applyProtection="1">
      <alignment horizontal="left"/>
      <protection hidden="1"/>
    </xf>
    <xf numFmtId="0" fontId="33" fillId="0" borderId="0" xfId="8" applyFont="1" applyFill="1"/>
    <xf numFmtId="0" fontId="8" fillId="0" borderId="0" xfId="5" applyFont="1" applyFill="1" applyProtection="1">
      <protection hidden="1"/>
    </xf>
    <xf numFmtId="0" fontId="8" fillId="0" borderId="0" xfId="8" applyFont="1" applyFill="1" applyAlignment="1">
      <alignment horizontal="center"/>
    </xf>
    <xf numFmtId="2" fontId="8" fillId="0" borderId="0" xfId="8" applyNumberFormat="1" applyFont="1" applyFill="1"/>
    <xf numFmtId="0" fontId="34" fillId="0" borderId="0" xfId="8" applyFont="1" applyFill="1"/>
    <xf numFmtId="0" fontId="22" fillId="0" borderId="0" xfId="5" applyFont="1" applyFill="1" applyProtection="1">
      <protection hidden="1"/>
    </xf>
    <xf numFmtId="0" fontId="22" fillId="0" borderId="0" xfId="5" applyFont="1" applyFill="1" applyAlignment="1" applyProtection="1">
      <alignment horizontal="center"/>
      <protection hidden="1"/>
    </xf>
    <xf numFmtId="0" fontId="22" fillId="0" borderId="0" xfId="5" applyFont="1" applyFill="1" applyAlignment="1" applyProtection="1">
      <alignment horizontal="left"/>
      <protection hidden="1"/>
    </xf>
    <xf numFmtId="0" fontId="22" fillId="0" borderId="0" xfId="5" applyFont="1" applyFill="1" applyAlignment="1" applyProtection="1">
      <alignment horizontal="left" indent="3"/>
      <protection hidden="1"/>
    </xf>
    <xf numFmtId="1" fontId="8" fillId="0" borderId="2" xfId="12" applyNumberFormat="1" applyFont="1" applyFill="1" applyBorder="1" applyAlignment="1">
      <alignment horizontal="center" vertical="center" wrapText="1"/>
    </xf>
    <xf numFmtId="1" fontId="8" fillId="0" borderId="2" xfId="2" applyNumberFormat="1" applyFont="1" applyFill="1" applyBorder="1" applyAlignment="1">
      <alignment horizontal="center" vertical="center" wrapText="1"/>
    </xf>
    <xf numFmtId="0" fontId="9" fillId="0" borderId="6" xfId="1" applyFont="1" applyFill="1" applyBorder="1" applyAlignment="1">
      <alignment horizontal="center"/>
    </xf>
    <xf numFmtId="166" fontId="8" fillId="0" borderId="6" xfId="2" applyNumberFormat="1" applyFont="1" applyFill="1" applyBorder="1" applyAlignment="1">
      <alignment horizontal="center" vertical="center" wrapText="1"/>
    </xf>
    <xf numFmtId="174" fontId="22" fillId="0" borderId="8" xfId="2" applyNumberFormat="1" applyFont="1" applyFill="1" applyBorder="1" applyAlignment="1">
      <alignment horizontal="center" vertical="center" wrapText="1"/>
    </xf>
    <xf numFmtId="174" fontId="21" fillId="0" borderId="8" xfId="2" applyNumberFormat="1" applyFont="1" applyFill="1" applyBorder="1" applyAlignment="1">
      <alignment horizontal="center" vertical="center" wrapText="1"/>
    </xf>
    <xf numFmtId="174" fontId="31" fillId="0" borderId="8" xfId="2" applyNumberFormat="1" applyFont="1" applyFill="1" applyBorder="1" applyAlignment="1">
      <alignment horizontal="center" vertical="center" wrapText="1"/>
    </xf>
    <xf numFmtId="3" fontId="8" fillId="0" borderId="6" xfId="2" applyNumberFormat="1" applyFont="1" applyFill="1" applyBorder="1" applyAlignment="1">
      <alignment horizontal="center" vertical="center" wrapText="1"/>
    </xf>
    <xf numFmtId="167" fontId="8" fillId="0" borderId="6" xfId="2" applyNumberFormat="1" applyFont="1" applyFill="1" applyBorder="1" applyAlignment="1">
      <alignment horizontal="center" vertical="center" wrapText="1"/>
    </xf>
    <xf numFmtId="167" fontId="8" fillId="0" borderId="2" xfId="1" applyNumberFormat="1" applyFont="1" applyFill="1" applyBorder="1" applyAlignment="1">
      <alignment horizontal="center" vertical="center"/>
    </xf>
    <xf numFmtId="168" fontId="8" fillId="0" borderId="2" xfId="1" applyNumberFormat="1" applyFont="1" applyFill="1" applyBorder="1" applyAlignment="1">
      <alignment horizontal="center" vertical="center"/>
    </xf>
    <xf numFmtId="168" fontId="7" fillId="0" borderId="2" xfId="1" applyNumberFormat="1" applyFont="1" applyFill="1" applyBorder="1" applyAlignment="1">
      <alignment horizontal="center" vertical="center"/>
    </xf>
    <xf numFmtId="168" fontId="8" fillId="0" borderId="2" xfId="1" applyNumberFormat="1" applyFont="1" applyFill="1" applyBorder="1" applyAlignment="1">
      <alignment horizontal="center" vertical="center" wrapText="1"/>
    </xf>
    <xf numFmtId="169" fontId="8" fillId="0" borderId="2" xfId="1" applyNumberFormat="1" applyFont="1" applyFill="1" applyBorder="1" applyAlignment="1">
      <alignment horizontal="center" vertical="center"/>
    </xf>
    <xf numFmtId="2" fontId="11" fillId="0" borderId="2" xfId="2" applyNumberFormat="1" applyFont="1" applyFill="1" applyBorder="1" applyAlignment="1">
      <alignment horizontal="center"/>
    </xf>
    <xf numFmtId="0" fontId="8" fillId="0" borderId="2" xfId="2" applyFont="1" applyFill="1" applyBorder="1"/>
    <xf numFmtId="0" fontId="8" fillId="0" borderId="2" xfId="0" applyFont="1" applyFill="1" applyBorder="1" applyAlignment="1">
      <alignment horizontal="center" vertical="center" wrapText="1"/>
    </xf>
    <xf numFmtId="0" fontId="7" fillId="0" borderId="2" xfId="2" applyFont="1" applyFill="1" applyBorder="1"/>
    <xf numFmtId="0" fontId="9" fillId="0" borderId="2" xfId="12" applyFont="1" applyFill="1" applyBorder="1" applyAlignment="1">
      <alignment horizontal="center" vertical="center" wrapText="1"/>
    </xf>
    <xf numFmtId="0" fontId="9" fillId="0" borderId="6" xfId="2"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2" xfId="14" applyFont="1" applyFill="1" applyBorder="1" applyAlignment="1">
      <alignment horizontal="left" vertical="center" wrapText="1"/>
    </xf>
    <xf numFmtId="1" fontId="8" fillId="0" borderId="2" xfId="0" applyNumberFormat="1" applyFont="1" applyFill="1" applyBorder="1" applyAlignment="1">
      <alignment horizontal="center" vertical="center" wrapText="1"/>
    </xf>
    <xf numFmtId="166" fontId="28" fillId="0" borderId="2" xfId="2" applyNumberFormat="1" applyFont="1" applyFill="1" applyBorder="1" applyAlignment="1">
      <alignment horizontal="center" vertical="center" wrapText="1"/>
    </xf>
    <xf numFmtId="174" fontId="7" fillId="0" borderId="8"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2" applyFont="1" applyFill="1" applyBorder="1" applyAlignment="1">
      <alignment horizontal="center"/>
    </xf>
    <xf numFmtId="2" fontId="11" fillId="0" borderId="0" xfId="2" applyNumberFormat="1" applyFont="1" applyBorder="1" applyAlignment="1">
      <alignment horizontal="center"/>
    </xf>
    <xf numFmtId="2" fontId="26" fillId="0" borderId="0" xfId="1" applyNumberFormat="1" applyFont="1" applyFill="1" applyBorder="1" applyAlignment="1">
      <alignment horizontal="center"/>
    </xf>
    <xf numFmtId="2" fontId="11" fillId="0" borderId="0" xfId="2" applyNumberFormat="1" applyFont="1" applyFill="1" applyBorder="1" applyAlignment="1">
      <alignment horizontal="center"/>
    </xf>
    <xf numFmtId="0" fontId="11" fillId="0" borderId="0" xfId="2" applyFont="1" applyBorder="1" applyAlignment="1">
      <alignment horizontal="center"/>
    </xf>
    <xf numFmtId="0" fontId="8" fillId="0" borderId="0" xfId="2" applyFont="1" applyFill="1" applyBorder="1" applyAlignment="1">
      <alignment horizontal="center"/>
    </xf>
    <xf numFmtId="0" fontId="8" fillId="0" borderId="0" xfId="2" applyFont="1" applyBorder="1" applyAlignment="1">
      <alignment horizontal="center"/>
    </xf>
    <xf numFmtId="2" fontId="8" fillId="0" borderId="0" xfId="2" applyNumberFormat="1" applyFont="1" applyFill="1" applyBorder="1" applyAlignment="1">
      <alignment horizontal="center"/>
    </xf>
    <xf numFmtId="2" fontId="8" fillId="0" borderId="0" xfId="2" applyNumberFormat="1" applyFont="1" applyBorder="1" applyAlignment="1">
      <alignment horizontal="center"/>
    </xf>
    <xf numFmtId="175" fontId="8" fillId="0" borderId="8" xfId="2" applyNumberFormat="1" applyFont="1" applyFill="1" applyBorder="1" applyAlignment="1">
      <alignment horizontal="center" vertical="center" wrapText="1"/>
    </xf>
    <xf numFmtId="166" fontId="8" fillId="0" borderId="2" xfId="12" applyNumberFormat="1" applyFont="1" applyFill="1" applyBorder="1" applyAlignment="1">
      <alignment horizontal="center" vertical="center" wrapText="1"/>
    </xf>
    <xf numFmtId="0" fontId="8" fillId="0" borderId="2" xfId="12" applyFont="1" applyFill="1" applyBorder="1" applyAlignment="1">
      <alignment horizontal="right" vertical="center" wrapText="1"/>
    </xf>
    <xf numFmtId="0" fontId="7" fillId="0" borderId="2" xfId="12" applyFont="1" applyFill="1" applyBorder="1"/>
    <xf numFmtId="1" fontId="9" fillId="3" borderId="2" xfId="2" applyNumberFormat="1" applyFont="1" applyFill="1" applyBorder="1" applyAlignment="1">
      <alignment horizontal="center" vertical="center" wrapText="1"/>
    </xf>
    <xf numFmtId="174" fontId="21" fillId="0" borderId="8" xfId="0" applyNumberFormat="1" applyFont="1" applyFill="1" applyBorder="1" applyAlignment="1">
      <alignment horizontal="center" vertical="center" wrapText="1"/>
    </xf>
    <xf numFmtId="3" fontId="8" fillId="0" borderId="8" xfId="0" applyNumberFormat="1" applyFont="1" applyFill="1" applyBorder="1" applyAlignment="1">
      <alignment horizontal="center" vertical="center" wrapText="1"/>
    </xf>
    <xf numFmtId="175" fontId="8" fillId="0" borderId="8" xfId="0" applyNumberFormat="1" applyFont="1" applyFill="1" applyBorder="1" applyAlignment="1">
      <alignment horizontal="center" vertical="center" wrapText="1"/>
    </xf>
    <xf numFmtId="0" fontId="9" fillId="0" borderId="2" xfId="12" applyFont="1" applyFill="1" applyBorder="1" applyAlignment="1">
      <alignment horizontal="left" vertical="center" wrapText="1"/>
    </xf>
    <xf numFmtId="0" fontId="9" fillId="0" borderId="2" xfId="12" applyFont="1" applyBorder="1" applyAlignment="1">
      <alignment horizontal="center" vertical="center" wrapText="1"/>
    </xf>
    <xf numFmtId="2" fontId="8" fillId="0" borderId="2" xfId="2" applyNumberFormat="1" applyFont="1" applyFill="1" applyBorder="1" applyAlignment="1">
      <alignment horizontal="center" vertical="center" wrapText="1"/>
    </xf>
    <xf numFmtId="1" fontId="9" fillId="3" borderId="3" xfId="2" applyNumberFormat="1" applyFont="1" applyFill="1" applyBorder="1" applyAlignment="1">
      <alignment horizontal="center" vertical="center" wrapText="1"/>
    </xf>
    <xf numFmtId="0" fontId="9" fillId="0" borderId="6" xfId="2" applyFont="1" applyFill="1" applyBorder="1" applyAlignment="1">
      <alignment horizontal="center" vertical="center" wrapText="1"/>
    </xf>
    <xf numFmtId="0" fontId="8" fillId="0" borderId="6" xfId="1" applyFont="1" applyFill="1" applyBorder="1" applyAlignment="1">
      <alignment horizontal="center" vertical="center" wrapText="1"/>
    </xf>
    <xf numFmtId="0" fontId="9" fillId="0" borderId="2" xfId="2" applyFont="1" applyFill="1" applyBorder="1" applyAlignment="1">
      <alignment horizontal="left" vertical="center" wrapText="1"/>
    </xf>
    <xf numFmtId="1" fontId="8" fillId="0" borderId="6" xfId="2" applyNumberFormat="1" applyFont="1" applyFill="1" applyBorder="1" applyAlignment="1">
      <alignment horizontal="center" vertical="center" wrapText="1"/>
    </xf>
    <xf numFmtId="1" fontId="7" fillId="2" borderId="2" xfId="2" applyNumberFormat="1" applyFont="1" applyFill="1" applyBorder="1" applyAlignment="1">
      <alignment horizontal="center" vertical="center" wrapText="1"/>
    </xf>
    <xf numFmtId="1" fontId="9" fillId="2" borderId="3" xfId="1" applyNumberFormat="1" applyFont="1" applyFill="1" applyBorder="1" applyAlignment="1">
      <alignment horizontal="center"/>
    </xf>
    <xf numFmtId="1" fontId="7" fillId="0" borderId="2" xfId="2" applyNumberFormat="1" applyFont="1" applyFill="1" applyBorder="1" applyAlignment="1">
      <alignment horizontal="center" vertical="center" wrapText="1"/>
    </xf>
    <xf numFmtId="0" fontId="8" fillId="0" borderId="2" xfId="1" applyFont="1" applyFill="1" applyBorder="1" applyAlignment="1">
      <alignment horizontal="center" vertical="center" wrapText="1"/>
    </xf>
    <xf numFmtId="0" fontId="12" fillId="0" borderId="0" xfId="4" applyFont="1"/>
    <xf numFmtId="0" fontId="24" fillId="0" borderId="0" xfId="4" applyFont="1"/>
    <xf numFmtId="0" fontId="12" fillId="0" borderId="2" xfId="4" applyFont="1" applyBorder="1" applyAlignment="1">
      <alignment horizontal="center" vertical="center"/>
    </xf>
    <xf numFmtId="0" fontId="12" fillId="0" borderId="2" xfId="4" applyFont="1" applyBorder="1" applyAlignment="1">
      <alignment vertical="center"/>
    </xf>
    <xf numFmtId="0" fontId="12" fillId="0" borderId="2" xfId="4" applyFont="1" applyBorder="1"/>
    <xf numFmtId="0" fontId="24" fillId="6" borderId="2" xfId="4" applyFont="1" applyFill="1" applyBorder="1"/>
    <xf numFmtId="172" fontId="13" fillId="3" borderId="2" xfId="29" applyNumberFormat="1" applyFont="1" applyFill="1" applyBorder="1" applyAlignment="1">
      <alignment horizontal="center" vertical="center" wrapText="1"/>
    </xf>
    <xf numFmtId="0" fontId="26" fillId="0" borderId="2" xfId="30" applyFont="1" applyBorder="1" applyAlignment="1">
      <alignment horizontal="center" vertical="center" wrapText="1"/>
    </xf>
    <xf numFmtId="0" fontId="26" fillId="0" borderId="2" xfId="30" applyFont="1" applyBorder="1" applyAlignment="1">
      <alignment vertical="center" wrapText="1"/>
    </xf>
    <xf numFmtId="172" fontId="26" fillId="0" borderId="2" xfId="31" applyNumberFormat="1" applyFont="1" applyBorder="1" applyAlignment="1">
      <alignment horizontal="right" wrapText="1"/>
    </xf>
    <xf numFmtId="172" fontId="26" fillId="0" borderId="2" xfId="31" applyNumberFormat="1" applyFont="1" applyBorder="1" applyAlignment="1">
      <alignment horizontal="center" vertical="center" wrapText="1"/>
    </xf>
    <xf numFmtId="0" fontId="12" fillId="0" borderId="0" xfId="4" applyFont="1" applyAlignment="1">
      <alignment horizontal="center" vertical="center"/>
    </xf>
    <xf numFmtId="49" fontId="11" fillId="0" borderId="2" xfId="4" applyNumberFormat="1" applyFont="1" applyBorder="1" applyAlignment="1">
      <alignment horizontal="center" vertical="center"/>
    </xf>
    <xf numFmtId="0" fontId="11" fillId="0" borderId="2" xfId="30" applyFont="1" applyBorder="1" applyAlignment="1">
      <alignment vertical="center" wrapText="1"/>
    </xf>
    <xf numFmtId="172" fontId="39" fillId="0" borderId="2" xfId="30" applyNumberFormat="1" applyFont="1" applyBorder="1" applyAlignment="1">
      <alignment horizontal="right"/>
    </xf>
    <xf numFmtId="172" fontId="39" fillId="0" borderId="2" xfId="30" applyNumberFormat="1" applyFont="1" applyBorder="1" applyAlignment="1">
      <alignment horizontal="center" vertical="center"/>
    </xf>
    <xf numFmtId="172" fontId="11" fillId="0" borderId="2" xfId="31" applyNumberFormat="1" applyFont="1" applyBorder="1" applyAlignment="1">
      <alignment horizontal="right" wrapText="1"/>
    </xf>
    <xf numFmtId="172" fontId="11" fillId="0" borderId="2" xfId="31" applyNumberFormat="1" applyFont="1" applyBorder="1" applyAlignment="1">
      <alignment horizontal="center" vertical="center" wrapText="1"/>
    </xf>
    <xf numFmtId="0" fontId="12" fillId="0" borderId="2" xfId="4" applyFont="1" applyBorder="1" applyAlignment="1">
      <alignment horizontal="center"/>
    </xf>
    <xf numFmtId="0" fontId="39" fillId="0" borderId="2" xfId="4" applyFont="1" applyBorder="1"/>
    <xf numFmtId="0" fontId="39" fillId="0" borderId="2" xfId="4" applyFont="1" applyBorder="1" applyAlignment="1">
      <alignment horizontal="center" vertical="center"/>
    </xf>
    <xf numFmtId="0" fontId="13" fillId="3" borderId="2" xfId="30" applyFont="1" applyFill="1" applyBorder="1" applyAlignment="1">
      <alignment vertical="center" wrapText="1"/>
    </xf>
    <xf numFmtId="1" fontId="39" fillId="0" borderId="2" xfId="4" applyNumberFormat="1" applyFont="1" applyBorder="1"/>
    <xf numFmtId="0" fontId="13" fillId="0" borderId="0" xfId="5" applyFont="1" applyAlignment="1" applyProtection="1">
      <alignment horizontal="left"/>
      <protection hidden="1"/>
    </xf>
    <xf numFmtId="0" fontId="22" fillId="0" borderId="0" xfId="4" applyFont="1"/>
    <xf numFmtId="0" fontId="22" fillId="0" borderId="0" xfId="4" applyFont="1" applyAlignment="1">
      <alignment horizontal="center" vertical="center" wrapText="1"/>
    </xf>
    <xf numFmtId="0" fontId="11" fillId="0" borderId="0" xfId="5" applyFont="1" applyProtection="1">
      <protection hidden="1"/>
    </xf>
    <xf numFmtId="0" fontId="12" fillId="0" borderId="0" xfId="4" applyFont="1" applyAlignment="1">
      <alignment horizontal="center" vertical="center" wrapText="1"/>
    </xf>
    <xf numFmtId="0" fontId="11" fillId="0" borderId="0" xfId="5" applyFont="1" applyAlignment="1" applyProtection="1">
      <alignment horizontal="left"/>
      <protection hidden="1"/>
    </xf>
    <xf numFmtId="176" fontId="8" fillId="0" borderId="0" xfId="1" applyNumberFormat="1" applyFont="1" applyFill="1" applyAlignment="1">
      <alignment horizontal="center" vertical="center" wrapText="1"/>
    </xf>
    <xf numFmtId="0" fontId="7" fillId="3" borderId="2" xfId="1" applyFont="1" applyFill="1" applyBorder="1" applyAlignment="1">
      <alignment horizontal="center" vertical="center"/>
    </xf>
    <xf numFmtId="166" fontId="8" fillId="0" borderId="2" xfId="2" applyNumberFormat="1" applyFont="1" applyFill="1" applyBorder="1" applyAlignment="1">
      <alignment horizontal="center"/>
    </xf>
    <xf numFmtId="177" fontId="11" fillId="0" borderId="0" xfId="2" applyNumberFormat="1" applyFont="1" applyFill="1" applyBorder="1" applyAlignment="1">
      <alignment horizontal="center"/>
    </xf>
    <xf numFmtId="0" fontId="8" fillId="0" borderId="2" xfId="2" applyFont="1" applyFill="1" applyBorder="1" applyAlignment="1">
      <alignment vertical="center" wrapText="1"/>
    </xf>
    <xf numFmtId="0" fontId="7" fillId="0" borderId="0" xfId="1" applyFont="1" applyAlignment="1">
      <alignment horizontal="center" vertical="center" wrapText="1"/>
    </xf>
    <xf numFmtId="0" fontId="8" fillId="0" borderId="0" xfId="1" applyFont="1" applyAlignment="1">
      <alignment horizontal="center" vertical="center" wrapText="1"/>
    </xf>
    <xf numFmtId="0" fontId="7" fillId="0" borderId="0" xfId="1" applyFont="1" applyAlignment="1">
      <alignment vertical="center" wrapText="1"/>
    </xf>
    <xf numFmtId="2" fontId="9" fillId="0" borderId="0" xfId="24" applyNumberFormat="1" applyFont="1" applyFill="1" applyBorder="1" applyAlignment="1">
      <alignment horizontal="center"/>
    </xf>
    <xf numFmtId="167" fontId="8" fillId="0" borderId="0" xfId="1" applyNumberFormat="1" applyFont="1" applyAlignment="1" applyProtection="1">
      <alignment horizontal="center" vertical="center"/>
    </xf>
    <xf numFmtId="1" fontId="8" fillId="0" borderId="0" xfId="1" applyNumberFormat="1" applyFont="1" applyAlignment="1" applyProtection="1">
      <alignment horizontal="center" vertical="center"/>
    </xf>
    <xf numFmtId="1" fontId="8" fillId="0" borderId="0" xfId="1" applyNumberFormat="1" applyFont="1" applyFill="1" applyAlignment="1">
      <alignment horizontal="center"/>
    </xf>
    <xf numFmtId="1" fontId="7" fillId="0" borderId="0" xfId="1" applyNumberFormat="1" applyFont="1" applyAlignment="1">
      <alignment horizontal="center" vertical="center" wrapText="1"/>
    </xf>
    <xf numFmtId="0" fontId="9" fillId="0" borderId="6" xfId="2" applyFont="1" applyFill="1" applyBorder="1" applyAlignment="1">
      <alignment horizontal="center" vertical="center" wrapText="1"/>
    </xf>
    <xf numFmtId="166" fontId="8" fillId="0" borderId="2" xfId="0" applyNumberFormat="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2" xfId="1" applyFont="1" applyFill="1" applyBorder="1" applyAlignment="1">
      <alignment horizontal="center" vertical="center" wrapText="1"/>
    </xf>
    <xf numFmtId="166" fontId="8" fillId="0" borderId="2" xfId="2" applyNumberFormat="1" applyFont="1" applyFill="1" applyBorder="1" applyAlignment="1">
      <alignment horizontal="center" vertical="center" wrapText="1"/>
    </xf>
    <xf numFmtId="0" fontId="9" fillId="0" borderId="2" xfId="1" applyFont="1" applyFill="1" applyBorder="1" applyAlignment="1">
      <alignment horizontal="center" vertical="center"/>
    </xf>
    <xf numFmtId="0" fontId="28" fillId="0" borderId="2" xfId="1" applyFont="1" applyFill="1" applyBorder="1" applyAlignment="1">
      <alignment horizontal="center" vertical="center"/>
    </xf>
    <xf numFmtId="0" fontId="9" fillId="0" borderId="2" xfId="26"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6" xfId="12" applyFont="1" applyFill="1" applyBorder="1" applyAlignment="1">
      <alignment horizontal="center" vertical="center" wrapText="1"/>
    </xf>
    <xf numFmtId="0" fontId="9" fillId="0" borderId="2" xfId="1" applyFont="1" applyFill="1" applyBorder="1" applyAlignment="1">
      <alignment horizontal="center" wrapText="1"/>
    </xf>
    <xf numFmtId="0" fontId="7" fillId="0" borderId="2" xfId="1" applyFont="1" applyFill="1" applyBorder="1" applyAlignment="1">
      <alignment vertical="center" wrapText="1"/>
    </xf>
    <xf numFmtId="0" fontId="8" fillId="0" borderId="2" xfId="12" applyFont="1" applyBorder="1" applyAlignment="1">
      <alignment horizontal="center" vertical="center"/>
    </xf>
    <xf numFmtId="0" fontId="22" fillId="0" borderId="2" xfId="8" applyFont="1" applyBorder="1" applyAlignment="1">
      <alignment horizontal="center" vertical="center"/>
    </xf>
    <xf numFmtId="0" fontId="0" fillId="0" borderId="0" xfId="8" applyFont="1" applyAlignment="1">
      <alignment vertical="center"/>
    </xf>
    <xf numFmtId="0" fontId="22" fillId="0" borderId="0" xfId="8" applyFont="1" applyAlignment="1">
      <alignment vertical="center"/>
    </xf>
    <xf numFmtId="0" fontId="7" fillId="0" borderId="0" xfId="5" applyFont="1" applyAlignment="1" applyProtection="1">
      <alignment horizontal="left" vertical="center"/>
      <protection hidden="1"/>
    </xf>
    <xf numFmtId="0" fontId="22" fillId="0" borderId="0" xfId="5" applyFont="1" applyAlignment="1" applyProtection="1">
      <alignment vertical="center"/>
      <protection hidden="1"/>
    </xf>
    <xf numFmtId="0" fontId="22" fillId="0" borderId="0" xfId="5" applyFont="1" applyAlignment="1" applyProtection="1">
      <alignment horizontal="left" vertical="center"/>
      <protection hidden="1"/>
    </xf>
    <xf numFmtId="0" fontId="22" fillId="0" borderId="3" xfId="8" applyFont="1" applyFill="1" applyBorder="1" applyAlignment="1">
      <alignment horizontal="center" vertical="center" wrapText="1"/>
    </xf>
    <xf numFmtId="0" fontId="12" fillId="0" borderId="10" xfId="4" applyFont="1" applyBorder="1" applyAlignment="1">
      <alignment horizontal="center" vertical="center"/>
    </xf>
    <xf numFmtId="0" fontId="13" fillId="0" borderId="10" xfId="4" applyFont="1" applyBorder="1" applyAlignment="1">
      <alignment horizontal="center"/>
    </xf>
    <xf numFmtId="0" fontId="22" fillId="0" borderId="0" xfId="4" applyFont="1" applyAlignment="1">
      <alignment horizontal="center"/>
    </xf>
    <xf numFmtId="0" fontId="22" fillId="0" borderId="10" xfId="4" applyFont="1" applyBorder="1" applyAlignment="1">
      <alignment horizontal="center" vertical="center" wrapText="1"/>
    </xf>
    <xf numFmtId="0" fontId="11" fillId="0" borderId="10" xfId="4" applyFont="1" applyBorder="1" applyAlignment="1">
      <alignment horizontal="center"/>
    </xf>
    <xf numFmtId="0" fontId="22" fillId="0" borderId="0" xfId="8" applyFont="1" applyFill="1" applyBorder="1" applyAlignment="1">
      <alignment horizontal="right"/>
    </xf>
    <xf numFmtId="0" fontId="40" fillId="0" borderId="0" xfId="5" applyFont="1" applyFill="1" applyAlignment="1" applyProtection="1">
      <alignment horizontal="left"/>
      <protection hidden="1"/>
    </xf>
    <xf numFmtId="0" fontId="8" fillId="0" borderId="2" xfId="12" applyFont="1" applyFill="1" applyBorder="1" applyAlignment="1">
      <alignment wrapText="1"/>
    </xf>
    <xf numFmtId="0" fontId="9" fillId="0" borderId="2" xfId="2" applyFont="1" applyFill="1" applyBorder="1" applyAlignment="1">
      <alignment horizontal="center" vertical="center" wrapText="1"/>
    </xf>
    <xf numFmtId="0" fontId="8" fillId="0" borderId="6" xfId="1" applyFont="1" applyFill="1" applyBorder="1" applyAlignment="1">
      <alignment horizontal="left" vertical="center" wrapText="1"/>
    </xf>
    <xf numFmtId="0" fontId="8" fillId="0" borderId="2" xfId="2" applyFont="1" applyFill="1" applyBorder="1" applyAlignment="1">
      <alignment horizontal="left" vertical="center" wrapText="1"/>
    </xf>
    <xf numFmtId="0" fontId="8" fillId="0" borderId="6" xfId="12" applyFont="1" applyFill="1" applyBorder="1" applyAlignment="1">
      <alignment horizontal="left" vertical="center" wrapText="1"/>
    </xf>
    <xf numFmtId="0" fontId="22" fillId="0" borderId="7" xfId="8" applyFont="1" applyBorder="1" applyAlignment="1">
      <alignment horizontal="center" vertical="center" wrapText="1"/>
    </xf>
    <xf numFmtId="2" fontId="22" fillId="0" borderId="2" xfId="8" applyNumberFormat="1" applyFont="1" applyBorder="1" applyAlignment="1">
      <alignment horizontal="center" vertical="center"/>
    </xf>
    <xf numFmtId="0" fontId="22" fillId="0" borderId="2" xfId="4" applyFont="1" applyBorder="1" applyAlignment="1">
      <alignment horizontal="center" vertical="center"/>
    </xf>
    <xf numFmtId="0" fontId="22" fillId="0" borderId="3" xfId="4" applyFont="1" applyBorder="1" applyAlignment="1">
      <alignment horizontal="center" vertical="center"/>
    </xf>
    <xf numFmtId="0" fontId="22" fillId="0" borderId="3" xfId="8" applyFont="1" applyBorder="1" applyAlignment="1">
      <alignment horizontal="center" vertical="center"/>
    </xf>
    <xf numFmtId="0" fontId="22" fillId="0" borderId="9" xfId="8" applyFont="1" applyBorder="1" applyAlignment="1">
      <alignment horizontal="center" vertical="center" wrapText="1"/>
    </xf>
    <xf numFmtId="2" fontId="22" fillId="0" borderId="3" xfId="8" applyNumberFormat="1" applyFont="1" applyBorder="1" applyAlignment="1">
      <alignment horizontal="center" vertical="center"/>
    </xf>
    <xf numFmtId="0" fontId="22" fillId="0" borderId="2" xfId="8" applyFont="1" applyFill="1" applyBorder="1" applyAlignment="1">
      <alignment horizontal="center" vertical="center"/>
    </xf>
    <xf numFmtId="0" fontId="22" fillId="0" borderId="2" xfId="8" applyFont="1" applyFill="1" applyBorder="1" applyAlignment="1">
      <alignment horizontal="center" vertical="center" wrapText="1"/>
    </xf>
    <xf numFmtId="1" fontId="22" fillId="0" borderId="2" xfId="8" applyNumberFormat="1" applyFont="1" applyFill="1" applyBorder="1" applyAlignment="1">
      <alignment horizontal="center" vertical="center"/>
    </xf>
    <xf numFmtId="0" fontId="25" fillId="0" borderId="2" xfId="0" applyFont="1" applyFill="1" applyBorder="1" applyAlignment="1">
      <alignment horizontal="center" vertical="center" wrapText="1"/>
    </xf>
    <xf numFmtId="0" fontId="9" fillId="0" borderId="2" xfId="2" applyFont="1" applyFill="1" applyBorder="1" applyAlignment="1">
      <alignment horizontal="center" vertical="center" wrapText="1"/>
    </xf>
    <xf numFmtId="0" fontId="9"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2" fontId="8" fillId="0" borderId="2" xfId="12" applyNumberFormat="1" applyFont="1" applyFill="1" applyBorder="1" applyAlignment="1">
      <alignment horizontal="center" vertical="center" wrapText="1"/>
    </xf>
    <xf numFmtId="166" fontId="8" fillId="0" borderId="6" xfId="1" applyNumberFormat="1" applyFont="1" applyFill="1" applyBorder="1" applyAlignment="1">
      <alignment horizontal="center" vertical="center" wrapText="1"/>
    </xf>
    <xf numFmtId="175" fontId="8" fillId="0" borderId="2" xfId="2" applyNumberFormat="1" applyFont="1" applyFill="1" applyBorder="1" applyAlignment="1">
      <alignment horizontal="center" vertical="center" wrapText="1"/>
    </xf>
    <xf numFmtId="0" fontId="8" fillId="0" borderId="0" xfId="0" applyFont="1" applyFill="1" applyAlignment="1">
      <alignment horizontal="left" vertical="center"/>
    </xf>
    <xf numFmtId="2" fontId="7" fillId="3" borderId="2" xfId="1" applyNumberFormat="1" applyFont="1" applyFill="1" applyBorder="1" applyAlignment="1">
      <alignment horizontal="center" vertical="center"/>
    </xf>
    <xf numFmtId="0" fontId="9" fillId="3" borderId="2" xfId="1" applyFont="1" applyFill="1" applyBorder="1" applyAlignment="1">
      <alignment horizontal="center" vertical="center"/>
    </xf>
    <xf numFmtId="0" fontId="32" fillId="0" borderId="10" xfId="8" applyFont="1" applyFill="1" applyBorder="1" applyAlignment="1">
      <alignment horizontal="center"/>
    </xf>
    <xf numFmtId="0" fontId="9" fillId="0" borderId="6" xfId="12" applyFont="1" applyFill="1" applyBorder="1" applyAlignment="1">
      <alignment horizontal="left" vertical="center" wrapText="1"/>
    </xf>
    <xf numFmtId="2" fontId="8" fillId="0" borderId="2" xfId="0" applyNumberFormat="1" applyFont="1" applyFill="1" applyBorder="1" applyAlignment="1">
      <alignment horizontal="center" vertical="center" wrapText="1"/>
    </xf>
    <xf numFmtId="4" fontId="8" fillId="0" borderId="8" xfId="0" applyNumberFormat="1" applyFont="1" applyFill="1" applyBorder="1" applyAlignment="1">
      <alignment horizontal="center" vertical="center" wrapText="1"/>
    </xf>
    <xf numFmtId="0" fontId="8" fillId="0" borderId="2"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12" fillId="0" borderId="3" xfId="0" applyFont="1" applyFill="1" applyBorder="1" applyAlignment="1">
      <alignment horizontal="center" vertical="center"/>
    </xf>
    <xf numFmtId="0" fontId="38" fillId="0" borderId="2" xfId="0" applyFont="1" applyBorder="1" applyAlignment="1">
      <alignment horizontal="center" vertical="center"/>
    </xf>
    <xf numFmtId="0" fontId="12" fillId="0" borderId="23" xfId="0" applyFont="1" applyFill="1" applyBorder="1" applyAlignment="1">
      <alignment horizontal="center" vertical="center"/>
    </xf>
    <xf numFmtId="0" fontId="38" fillId="0" borderId="18" xfId="0" applyFont="1" applyBorder="1" applyAlignment="1">
      <alignment horizontal="center" vertical="center"/>
    </xf>
    <xf numFmtId="170" fontId="8" fillId="0" borderId="0" xfId="24" applyNumberFormat="1" applyFont="1" applyFill="1"/>
    <xf numFmtId="43" fontId="8" fillId="0" borderId="0" xfId="3" applyNumberFormat="1" applyFont="1" applyFill="1" applyAlignment="1">
      <alignment vertical="center"/>
    </xf>
    <xf numFmtId="2" fontId="28" fillId="0" borderId="0" xfId="1" applyNumberFormat="1" applyFont="1" applyFill="1" applyBorder="1" applyAlignment="1">
      <alignment horizontal="center"/>
    </xf>
    <xf numFmtId="166" fontId="28" fillId="0" borderId="0" xfId="1" applyNumberFormat="1" applyFont="1" applyFill="1" applyBorder="1" applyAlignment="1">
      <alignment horizontal="center"/>
    </xf>
    <xf numFmtId="43" fontId="8" fillId="0" borderId="0" xfId="23" applyNumberFormat="1" applyFont="1" applyFill="1" applyBorder="1" applyAlignment="1" applyProtection="1">
      <alignment horizontal="center" vertical="center"/>
      <protection locked="0"/>
    </xf>
    <xf numFmtId="2" fontId="8" fillId="0" borderId="0" xfId="1" applyNumberFormat="1" applyFont="1" applyFill="1" applyAlignment="1">
      <alignment horizontal="center" vertical="center" wrapText="1"/>
    </xf>
    <xf numFmtId="0" fontId="9" fillId="0" borderId="6"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7" fillId="3" borderId="2" xfId="1" applyFont="1" applyFill="1" applyBorder="1" applyAlignment="1">
      <alignment wrapText="1"/>
    </xf>
    <xf numFmtId="0" fontId="8" fillId="0" borderId="2" xfId="2" applyFont="1" applyFill="1" applyBorder="1" applyAlignment="1">
      <alignment vertical="center"/>
    </xf>
    <xf numFmtId="177" fontId="8" fillId="0" borderId="0" xfId="24" applyNumberFormat="1" applyFont="1" applyFill="1"/>
    <xf numFmtId="170" fontId="7" fillId="0" borderId="0" xfId="1" applyNumberFormat="1" applyFont="1" applyAlignment="1">
      <alignment horizontal="center" vertical="center" wrapText="1"/>
    </xf>
    <xf numFmtId="0" fontId="22" fillId="0" borderId="8" xfId="4" applyFont="1" applyFill="1" applyBorder="1" applyAlignment="1">
      <alignment horizontal="left" vertical="center" wrapText="1"/>
    </xf>
    <xf numFmtId="170" fontId="13" fillId="0" borderId="0" xfId="24" applyNumberFormat="1" applyFont="1" applyFill="1" applyBorder="1" applyAlignment="1">
      <alignment horizontal="center"/>
    </xf>
    <xf numFmtId="0" fontId="8" fillId="0" borderId="2" xfId="4" applyFont="1" applyFill="1" applyBorder="1" applyAlignment="1" applyProtection="1">
      <alignment horizontal="center" vertical="center" wrapText="1"/>
      <protection locked="0"/>
    </xf>
    <xf numFmtId="0" fontId="8" fillId="0" borderId="24" xfId="4" applyFont="1" applyFill="1" applyBorder="1" applyAlignment="1" applyProtection="1">
      <alignment horizontal="center" vertical="center" wrapText="1"/>
      <protection locked="0"/>
    </xf>
    <xf numFmtId="0" fontId="24" fillId="0" borderId="2" xfId="0" applyFont="1" applyFill="1" applyBorder="1" applyAlignment="1">
      <alignment horizontal="center" vertical="center"/>
    </xf>
    <xf numFmtId="1" fontId="24" fillId="0" borderId="2" xfId="0" applyNumberFormat="1" applyFont="1" applyFill="1" applyBorder="1" applyAlignment="1">
      <alignment horizontal="center" vertical="center"/>
    </xf>
    <xf numFmtId="0" fontId="24" fillId="0" borderId="18" xfId="0" applyFont="1" applyFill="1" applyBorder="1" applyAlignment="1">
      <alignment horizontal="center" vertical="center"/>
    </xf>
    <xf numFmtId="0" fontId="8" fillId="0" borderId="2" xfId="1" applyFont="1" applyFill="1" applyBorder="1" applyAlignment="1">
      <alignment horizontal="center" vertical="center" wrapText="1"/>
    </xf>
    <xf numFmtId="2" fontId="12" fillId="0" borderId="2" xfId="0" applyNumberFormat="1" applyFont="1" applyBorder="1" applyAlignment="1">
      <alignment horizontal="center" vertical="center"/>
    </xf>
    <xf numFmtId="2" fontId="12" fillId="0" borderId="18"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18" xfId="0" applyFont="1" applyBorder="1" applyAlignment="1">
      <alignment horizontal="center" vertical="center"/>
    </xf>
    <xf numFmtId="166" fontId="12" fillId="0" borderId="2" xfId="0" applyNumberFormat="1" applyFont="1" applyBorder="1" applyAlignment="1">
      <alignment horizontal="center" vertical="center"/>
    </xf>
    <xf numFmtId="170" fontId="12" fillId="0" borderId="18" xfId="0" applyNumberFormat="1" applyFont="1" applyBorder="1" applyAlignment="1">
      <alignment horizontal="center" vertical="center"/>
    </xf>
    <xf numFmtId="0" fontId="8" fillId="3" borderId="2" xfId="1" applyFont="1" applyFill="1" applyBorder="1" applyAlignment="1">
      <alignment horizontal="center" vertical="center" wrapText="1"/>
    </xf>
    <xf numFmtId="0" fontId="8" fillId="0" borderId="2" xfId="1" applyFont="1" applyBorder="1" applyAlignment="1">
      <alignment horizontal="left" vertical="center"/>
    </xf>
    <xf numFmtId="1" fontId="8" fillId="0" borderId="2" xfId="1" applyNumberFormat="1" applyFont="1" applyBorder="1" applyAlignment="1">
      <alignment horizontal="left" vertical="center"/>
    </xf>
    <xf numFmtId="166" fontId="9" fillId="3" borderId="2" xfId="1" applyNumberFormat="1" applyFont="1" applyFill="1" applyBorder="1" applyAlignment="1">
      <alignment horizontal="center" vertical="center"/>
    </xf>
    <xf numFmtId="0" fontId="8" fillId="0" borderId="0" xfId="5" applyFont="1" applyFill="1" applyAlignment="1" applyProtection="1">
      <protection hidden="1"/>
    </xf>
    <xf numFmtId="0" fontId="8" fillId="0" borderId="0" xfId="5" applyFont="1" applyFill="1" applyAlignment="1" applyProtection="1">
      <alignment vertical="center"/>
      <protection hidden="1"/>
    </xf>
    <xf numFmtId="9" fontId="8" fillId="0" borderId="0" xfId="24" applyFont="1" applyFill="1" applyAlignment="1" applyProtection="1">
      <alignment vertical="center"/>
      <protection hidden="1"/>
    </xf>
    <xf numFmtId="1" fontId="13" fillId="0" borderId="2" xfId="4" applyNumberFormat="1" applyFont="1" applyBorder="1" applyAlignment="1" applyProtection="1">
      <alignment horizontal="center" vertical="center" wrapText="1"/>
      <protection locked="0"/>
    </xf>
    <xf numFmtId="168" fontId="7" fillId="0" borderId="2" xfId="2" applyNumberFormat="1" applyFont="1" applyFill="1" applyBorder="1" applyAlignment="1">
      <alignment horizontal="center" vertical="center" wrapText="1"/>
    </xf>
    <xf numFmtId="0" fontId="8" fillId="0" borderId="10" xfId="1" applyFont="1" applyBorder="1" applyAlignment="1">
      <alignment wrapText="1"/>
    </xf>
    <xf numFmtId="0" fontId="8" fillId="0" borderId="0" xfId="1" applyFont="1" applyBorder="1" applyAlignment="1">
      <alignment wrapText="1"/>
    </xf>
    <xf numFmtId="0" fontId="9" fillId="0" borderId="3" xfId="1" applyFont="1" applyFill="1" applyBorder="1" applyAlignment="1">
      <alignment horizontal="center" vertical="center" wrapText="1"/>
    </xf>
    <xf numFmtId="1" fontId="9" fillId="3" borderId="2" xfId="1" applyNumberFormat="1" applyFont="1" applyFill="1" applyBorder="1" applyAlignment="1">
      <alignment horizontal="center" vertical="center"/>
    </xf>
    <xf numFmtId="178" fontId="8" fillId="0" borderId="0" xfId="23" applyNumberFormat="1" applyFont="1" applyFill="1" applyBorder="1" applyAlignment="1" applyProtection="1">
      <alignment horizontal="center" vertical="center"/>
      <protection locked="0"/>
    </xf>
    <xf numFmtId="1" fontId="8" fillId="0" borderId="2" xfId="2" applyNumberFormat="1" applyFont="1" applyBorder="1" applyAlignment="1">
      <alignment horizontal="center" vertical="center" wrapText="1"/>
    </xf>
    <xf numFmtId="0" fontId="8" fillId="0" borderId="2" xfId="1" applyFont="1" applyFill="1" applyBorder="1" applyAlignment="1">
      <alignment horizontal="center" vertical="center" wrapText="1"/>
    </xf>
    <xf numFmtId="0" fontId="13" fillId="0" borderId="0" xfId="4" applyFont="1" applyBorder="1" applyAlignment="1">
      <alignment horizontal="left" vertical="top" wrapText="1"/>
    </xf>
    <xf numFmtId="0" fontId="11" fillId="0" borderId="0" xfId="4" applyFont="1" applyBorder="1" applyAlignment="1">
      <alignment horizontal="center" vertical="top" wrapText="1"/>
    </xf>
    <xf numFmtId="0" fontId="11" fillId="0" borderId="0" xfId="4" applyFont="1" applyAlignment="1">
      <alignment horizontal="center" vertical="top" wrapText="1"/>
    </xf>
    <xf numFmtId="0" fontId="13" fillId="0" borderId="11" xfId="4" applyNumberFormat="1" applyFont="1" applyFill="1" applyBorder="1" applyAlignment="1" applyProtection="1">
      <alignment horizontal="center" vertical="center"/>
    </xf>
    <xf numFmtId="0" fontId="13" fillId="0" borderId="4" xfId="4" applyNumberFormat="1" applyFont="1" applyFill="1" applyBorder="1" applyAlignment="1" applyProtection="1">
      <alignment horizontal="center" vertical="center"/>
    </xf>
    <xf numFmtId="0" fontId="13" fillId="0" borderId="12" xfId="4" applyNumberFormat="1" applyFont="1" applyFill="1" applyBorder="1" applyAlignment="1" applyProtection="1">
      <alignment horizontal="center" vertical="center"/>
    </xf>
    <xf numFmtId="0" fontId="11" fillId="0" borderId="0" xfId="4" applyFont="1" applyAlignment="1">
      <alignment horizontal="left" vertical="top" wrapText="1"/>
    </xf>
    <xf numFmtId="0" fontId="13" fillId="0" borderId="10" xfId="4" applyFont="1" applyBorder="1" applyAlignment="1">
      <alignment horizontal="left" vertical="top" wrapText="1"/>
    </xf>
    <xf numFmtId="0" fontId="11" fillId="0" borderId="4" xfId="4" applyFont="1" applyBorder="1" applyAlignment="1">
      <alignment horizontal="center" vertical="top" wrapText="1"/>
    </xf>
    <xf numFmtId="0" fontId="23" fillId="0" borderId="2" xfId="4" applyFont="1" applyFill="1" applyBorder="1" applyAlignment="1" applyProtection="1">
      <alignment horizontal="center" vertical="center"/>
    </xf>
    <xf numFmtId="0" fontId="7" fillId="0" borderId="2" xfId="20" applyFont="1" applyFill="1" applyBorder="1" applyAlignment="1">
      <alignment horizontal="center" vertical="center" wrapText="1"/>
    </xf>
    <xf numFmtId="0" fontId="7" fillId="0" borderId="0" xfId="20" applyFont="1" applyBorder="1" applyAlignment="1">
      <alignment horizontal="center" vertical="center" wrapText="1"/>
    </xf>
    <xf numFmtId="0" fontId="7" fillId="0" borderId="2" xfId="20" applyFont="1" applyBorder="1" applyAlignment="1">
      <alignment horizontal="center" vertical="center" wrapText="1"/>
    </xf>
    <xf numFmtId="0" fontId="7" fillId="0" borderId="6" xfId="20" applyFont="1" applyFill="1" applyBorder="1" applyAlignment="1">
      <alignment horizontal="center" vertical="center" wrapText="1"/>
    </xf>
    <xf numFmtId="0" fontId="7" fillId="0" borderId="3" xfId="20" applyFont="1" applyFill="1" applyBorder="1" applyAlignment="1">
      <alignment horizontal="center" vertical="center" wrapText="1"/>
    </xf>
    <xf numFmtId="0" fontId="7" fillId="0" borderId="8" xfId="20" applyFont="1" applyFill="1" applyBorder="1" applyAlignment="1">
      <alignment horizontal="center" vertical="center"/>
    </xf>
    <xf numFmtId="0" fontId="7" fillId="0" borderId="22" xfId="20" applyFont="1" applyFill="1" applyBorder="1" applyAlignment="1">
      <alignment horizontal="center" vertical="center"/>
    </xf>
    <xf numFmtId="0" fontId="7" fillId="0" borderId="7" xfId="20" applyFont="1" applyFill="1" applyBorder="1" applyAlignment="1">
      <alignment horizontal="center" vertical="center"/>
    </xf>
    <xf numFmtId="0" fontId="12" fillId="0" borderId="0" xfId="4" applyFont="1" applyFill="1" applyAlignment="1">
      <alignment horizontal="right"/>
    </xf>
    <xf numFmtId="0" fontId="21" fillId="0" borderId="14" xfId="4" applyFont="1" applyFill="1" applyBorder="1" applyAlignment="1" applyProtection="1">
      <alignment horizontal="center" vertical="center"/>
    </xf>
    <xf numFmtId="0" fontId="21" fillId="0" borderId="15" xfId="4" applyFont="1" applyFill="1" applyBorder="1" applyAlignment="1" applyProtection="1">
      <alignment horizontal="center" vertical="center"/>
    </xf>
    <xf numFmtId="0" fontId="21" fillId="0" borderId="16" xfId="4" applyFont="1" applyFill="1" applyBorder="1" applyAlignment="1" applyProtection="1">
      <alignment horizontal="center" vertical="center"/>
    </xf>
    <xf numFmtId="0" fontId="8" fillId="0" borderId="17" xfId="4" applyFont="1" applyFill="1" applyBorder="1" applyAlignment="1" applyProtection="1">
      <alignment horizontal="center" vertical="center" wrapText="1"/>
    </xf>
    <xf numFmtId="0" fontId="8" fillId="0" borderId="2" xfId="4" applyFont="1" applyFill="1" applyBorder="1" applyAlignment="1" applyProtection="1">
      <alignment horizontal="center" vertical="center" wrapText="1"/>
    </xf>
    <xf numFmtId="0" fontId="8" fillId="0" borderId="2" xfId="4" applyFont="1" applyFill="1" applyBorder="1" applyAlignment="1" applyProtection="1">
      <alignment horizontal="center" vertical="center" wrapText="1"/>
      <protection locked="0"/>
    </xf>
    <xf numFmtId="0" fontId="8" fillId="0" borderId="18" xfId="4" applyFont="1" applyFill="1" applyBorder="1" applyAlignment="1" applyProtection="1">
      <alignment horizontal="center" vertical="center" wrapText="1"/>
      <protection locked="0"/>
    </xf>
    <xf numFmtId="0" fontId="8" fillId="0" borderId="0" xfId="4" applyFont="1" applyFill="1" applyBorder="1" applyProtection="1"/>
    <xf numFmtId="0" fontId="8" fillId="0" borderId="0" xfId="4" applyFont="1" applyAlignment="1" applyProtection="1">
      <alignment horizontal="justify" vertical="top" wrapText="1"/>
    </xf>
    <xf numFmtId="0" fontId="8" fillId="0" borderId="19" xfId="4" applyFont="1" applyFill="1" applyBorder="1" applyAlignment="1" applyProtection="1">
      <alignment horizontal="center" vertical="center" wrapText="1"/>
    </xf>
    <xf numFmtId="0" fontId="8" fillId="0" borderId="20" xfId="4" applyFont="1" applyFill="1" applyBorder="1" applyAlignment="1" applyProtection="1">
      <alignment horizontal="center" vertical="center" wrapText="1"/>
    </xf>
    <xf numFmtId="0" fontId="22" fillId="0" borderId="0" xfId="5" applyFont="1" applyAlignment="1" applyProtection="1">
      <alignment horizontal="left"/>
      <protection hidden="1"/>
    </xf>
    <xf numFmtId="0" fontId="22" fillId="0" borderId="0" xfId="8" applyFont="1" applyFill="1" applyAlignment="1">
      <alignment horizontal="center" wrapText="1"/>
    </xf>
    <xf numFmtId="0" fontId="11" fillId="0" borderId="0" xfId="8" applyFont="1" applyAlignment="1">
      <alignment horizontal="center"/>
    </xf>
    <xf numFmtId="0" fontId="0" fillId="0" borderId="0" xfId="8" applyFont="1" applyFill="1" applyAlignment="1">
      <alignment horizontal="right"/>
    </xf>
    <xf numFmtId="0" fontId="21" fillId="0" borderId="2" xfId="8" applyFont="1" applyBorder="1" applyAlignment="1">
      <alignment horizontal="center" vertical="center" wrapText="1"/>
    </xf>
    <xf numFmtId="0" fontId="32" fillId="0" borderId="2" xfId="8" applyFont="1" applyBorder="1" applyAlignment="1">
      <alignment horizontal="center" vertical="center" wrapText="1"/>
    </xf>
    <xf numFmtId="0" fontId="32" fillId="0" borderId="10" xfId="8" applyFont="1" applyFill="1" applyBorder="1" applyAlignment="1">
      <alignment horizontal="center"/>
    </xf>
    <xf numFmtId="0" fontId="12" fillId="0" borderId="0" xfId="4" applyFont="1" applyAlignment="1">
      <alignment horizontal="right"/>
    </xf>
    <xf numFmtId="0" fontId="24" fillId="0" borderId="8" xfId="4" applyFont="1" applyBorder="1" applyAlignment="1">
      <alignment horizontal="center"/>
    </xf>
    <xf numFmtId="0" fontId="24" fillId="0" borderId="22" xfId="4" applyFont="1" applyBorder="1" applyAlignment="1">
      <alignment horizontal="center"/>
    </xf>
    <xf numFmtId="0" fontId="24" fillId="0" borderId="7" xfId="4" applyFont="1" applyBorder="1" applyAlignment="1">
      <alignment horizontal="center"/>
    </xf>
    <xf numFmtId="0" fontId="29" fillId="0" borderId="0" xfId="0" applyFont="1" applyAlignment="1">
      <alignment horizontal="center" vertical="center" wrapText="1"/>
    </xf>
    <xf numFmtId="0" fontId="22" fillId="0" borderId="0" xfId="4" applyFont="1" applyAlignment="1">
      <alignment horizontal="center" vertical="center" wrapText="1"/>
    </xf>
    <xf numFmtId="0" fontId="8" fillId="0" borderId="4" xfId="1" applyFont="1" applyBorder="1" applyAlignment="1">
      <alignment horizontal="center" vertical="center" wrapText="1"/>
    </xf>
    <xf numFmtId="0" fontId="8" fillId="0" borderId="0" xfId="1" applyFont="1" applyAlignment="1">
      <alignment horizontal="center" vertical="center" wrapText="1"/>
    </xf>
    <xf numFmtId="0" fontId="9" fillId="0" borderId="6"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35" fillId="0" borderId="0" xfId="1" applyFont="1" applyAlignment="1">
      <alignment horizontal="center" vertical="center" wrapText="1"/>
    </xf>
    <xf numFmtId="0" fontId="9" fillId="0" borderId="2" xfId="2" applyFont="1" applyFill="1" applyBorder="1" applyAlignment="1">
      <alignment horizontal="center" vertical="center" wrapText="1"/>
    </xf>
    <xf numFmtId="0" fontId="7" fillId="0" borderId="0" xfId="1" applyFont="1" applyAlignment="1">
      <alignment horizontal="center" vertical="center" wrapText="1"/>
    </xf>
    <xf numFmtId="0" fontId="9" fillId="0" borderId="6"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9" fillId="0" borderId="3" xfId="2" applyFont="1" applyFill="1" applyBorder="1" applyAlignment="1">
      <alignment horizontal="center" vertical="center" wrapText="1"/>
    </xf>
    <xf numFmtId="0" fontId="7" fillId="0" borderId="2" xfId="1" applyFont="1" applyFill="1" applyBorder="1" applyAlignment="1">
      <alignment horizontal="right"/>
    </xf>
    <xf numFmtId="0" fontId="7" fillId="0" borderId="2" xfId="1" applyFont="1" applyFill="1" applyBorder="1" applyAlignment="1">
      <alignment horizontal="left" vertical="center"/>
    </xf>
    <xf numFmtId="0" fontId="7" fillId="2" borderId="2" xfId="1" applyFont="1" applyFill="1" applyBorder="1" applyAlignment="1">
      <alignment horizontal="left"/>
    </xf>
    <xf numFmtId="0" fontId="7" fillId="0" borderId="3" xfId="1" applyFont="1" applyFill="1" applyBorder="1" applyAlignment="1">
      <alignment horizontal="left" vertical="center"/>
    </xf>
    <xf numFmtId="0" fontId="11" fillId="0" borderId="0" xfId="1" applyFont="1" applyAlignment="1">
      <alignment horizontal="center" vertical="center" wrapText="1"/>
    </xf>
    <xf numFmtId="0" fontId="9" fillId="0" borderId="2" xfId="1" applyFont="1" applyFill="1" applyBorder="1" applyAlignment="1">
      <alignment horizontal="center" vertical="center" wrapText="1"/>
    </xf>
    <xf numFmtId="167" fontId="9" fillId="0" borderId="6" xfId="1" applyNumberFormat="1" applyFont="1" applyFill="1" applyBorder="1" applyAlignment="1">
      <alignment horizontal="center" vertical="center"/>
    </xf>
    <xf numFmtId="167" fontId="9" fillId="0" borderId="5" xfId="1" applyNumberFormat="1" applyFont="1" applyFill="1" applyBorder="1" applyAlignment="1">
      <alignment horizontal="center" vertical="center"/>
    </xf>
    <xf numFmtId="167" fontId="9" fillId="0" borderId="3" xfId="1" applyNumberFormat="1" applyFont="1" applyFill="1" applyBorder="1" applyAlignment="1">
      <alignment horizontal="center" vertical="center"/>
    </xf>
    <xf numFmtId="0" fontId="8" fillId="0" borderId="2" xfId="1" applyFont="1" applyFill="1" applyBorder="1" applyAlignment="1">
      <alignment horizontal="center" vertical="center" wrapText="1"/>
    </xf>
    <xf numFmtId="0" fontId="7" fillId="0" borderId="0" xfId="1" applyFont="1" applyFill="1" applyBorder="1" applyAlignment="1" applyProtection="1">
      <alignment horizontal="center" vertical="center" wrapText="1"/>
    </xf>
    <xf numFmtId="0" fontId="7" fillId="0" borderId="1" xfId="1" applyFont="1" applyFill="1" applyBorder="1" applyAlignment="1" applyProtection="1">
      <alignment horizontal="center" vertical="center" wrapText="1"/>
    </xf>
    <xf numFmtId="0" fontId="8" fillId="0" borderId="8"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9" fillId="0" borderId="6" xfId="12" applyFont="1" applyFill="1" applyBorder="1" applyAlignment="1">
      <alignment horizontal="left" vertical="center" wrapText="1"/>
    </xf>
    <xf numFmtId="0" fontId="9" fillId="0" borderId="3" xfId="12" applyFont="1" applyFill="1" applyBorder="1" applyAlignment="1">
      <alignment horizontal="left" vertical="center" wrapText="1"/>
    </xf>
    <xf numFmtId="0" fontId="7" fillId="0" borderId="2" xfId="1" applyFont="1" applyFill="1" applyBorder="1" applyAlignment="1">
      <alignment horizontal="left"/>
    </xf>
    <xf numFmtId="0" fontId="7" fillId="0" borderId="2" xfId="1" applyFont="1" applyBorder="1" applyAlignment="1">
      <alignment horizontal="left" vertical="center"/>
    </xf>
    <xf numFmtId="0" fontId="9" fillId="0" borderId="6" xfId="12" applyFont="1" applyFill="1" applyBorder="1" applyAlignment="1">
      <alignment horizontal="center" vertical="center" wrapText="1"/>
    </xf>
    <xf numFmtId="0" fontId="9" fillId="0" borderId="3" xfId="12" applyFont="1" applyFill="1" applyBorder="1" applyAlignment="1">
      <alignment horizontal="center" vertical="center" wrapText="1"/>
    </xf>
    <xf numFmtId="0" fontId="8" fillId="0" borderId="0" xfId="1" applyFont="1" applyAlignment="1">
      <alignment horizontal="left" vertical="center" wrapText="1"/>
    </xf>
    <xf numFmtId="0" fontId="9" fillId="0" borderId="5" xfId="12"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31" fillId="0" borderId="2" xfId="28" applyFont="1" applyBorder="1" applyAlignment="1">
      <alignment horizontal="center" vertical="center"/>
    </xf>
    <xf numFmtId="0" fontId="11" fillId="0" borderId="2" xfId="28" applyFont="1" applyBorder="1" applyAlignment="1">
      <alignment horizontal="center" vertical="center"/>
    </xf>
    <xf numFmtId="0" fontId="11" fillId="0" borderId="2" xfId="28" applyFont="1" applyBorder="1" applyAlignment="1">
      <alignment horizontal="center" vertical="center" wrapText="1"/>
    </xf>
    <xf numFmtId="3" fontId="11" fillId="0" borderId="2" xfId="28" applyNumberFormat="1" applyFont="1" applyBorder="1" applyAlignment="1">
      <alignment horizontal="center" vertical="center"/>
    </xf>
    <xf numFmtId="0" fontId="11" fillId="0" borderId="2" xfId="28" applyFont="1" applyFill="1" applyBorder="1" applyAlignment="1">
      <alignment horizontal="center" vertical="center" wrapText="1"/>
    </xf>
    <xf numFmtId="0" fontId="23" fillId="0" borderId="0" xfId="28" applyFont="1" applyAlignment="1">
      <alignment horizontal="left" wrapText="1"/>
    </xf>
    <xf numFmtId="0" fontId="31" fillId="0" borderId="0" xfId="28" applyFont="1" applyAlignment="1">
      <alignment horizontal="center"/>
    </xf>
    <xf numFmtId="0" fontId="31" fillId="0" borderId="0" xfId="28" applyFont="1" applyAlignment="1">
      <alignment horizontal="left"/>
    </xf>
    <xf numFmtId="0" fontId="11" fillId="0" borderId="2" xfId="28" applyFont="1" applyFill="1" applyBorder="1" applyAlignment="1">
      <alignment horizontal="center" vertical="center"/>
    </xf>
    <xf numFmtId="3" fontId="11" fillId="0" borderId="2" xfId="28" applyNumberFormat="1" applyFont="1" applyFill="1" applyBorder="1" applyAlignment="1">
      <alignment horizontal="center" vertical="center"/>
    </xf>
  </cellXfs>
  <cellStyles count="34">
    <cellStyle name="Iau?iue" xfId="4" xr:uid="{00000000-0005-0000-0000-000000000000}"/>
    <cellStyle name="Iau?iue 15 2" xfId="7" xr:uid="{00000000-0005-0000-0000-000001000000}"/>
    <cellStyle name="Iau?iue 2" xfId="8" xr:uid="{00000000-0005-0000-0000-000002000000}"/>
    <cellStyle name="Iau?iue 3" xfId="9" xr:uid="{00000000-0005-0000-0000-000003000000}"/>
    <cellStyle name="Iau?iue_dodatok" xfId="1" xr:uid="{00000000-0005-0000-0000-000004000000}"/>
    <cellStyle name="Iau?iue_dodatok 2" xfId="3" xr:uid="{00000000-0005-0000-0000-000005000000}"/>
    <cellStyle name="Відсотковий 2" xfId="10" xr:uid="{00000000-0005-0000-0000-000006000000}"/>
    <cellStyle name="Звичайний 2" xfId="11" xr:uid="{00000000-0005-0000-0000-000007000000}"/>
    <cellStyle name="Обычный" xfId="0" builtinId="0"/>
    <cellStyle name="Обычный 10" xfId="12" xr:uid="{00000000-0005-0000-0000-000009000000}"/>
    <cellStyle name="Обычный 11" xfId="28" xr:uid="{00000000-0005-0000-0000-00000A000000}"/>
    <cellStyle name="Обычный 2" xfId="2" xr:uid="{00000000-0005-0000-0000-00000B000000}"/>
    <cellStyle name="Обычный 2 2" xfId="13" xr:uid="{00000000-0005-0000-0000-00000C000000}"/>
    <cellStyle name="Обычный 2 3" xfId="14" xr:uid="{00000000-0005-0000-0000-00000D000000}"/>
    <cellStyle name="Обычный 3" xfId="15" xr:uid="{00000000-0005-0000-0000-00000E000000}"/>
    <cellStyle name="Обычный 3 2" xfId="16" xr:uid="{00000000-0005-0000-0000-00000F000000}"/>
    <cellStyle name="Обычный 4" xfId="17" xr:uid="{00000000-0005-0000-0000-000010000000}"/>
    <cellStyle name="Обычный 4 2" xfId="32" xr:uid="{00000000-0005-0000-0000-000011000000}"/>
    <cellStyle name="Обычный 5" xfId="18" xr:uid="{00000000-0005-0000-0000-000012000000}"/>
    <cellStyle name="Обычный 6" xfId="19" xr:uid="{00000000-0005-0000-0000-000013000000}"/>
    <cellStyle name="Обычный 7" xfId="20" xr:uid="{00000000-0005-0000-0000-000014000000}"/>
    <cellStyle name="Обычный 8" xfId="21" xr:uid="{00000000-0005-0000-0000-000015000000}"/>
    <cellStyle name="Обычный 9" xfId="26" xr:uid="{00000000-0005-0000-0000-000016000000}"/>
    <cellStyle name="Обычный 9 2" xfId="30" xr:uid="{00000000-0005-0000-0000-000017000000}"/>
    <cellStyle name="Обычный_dodatok" xfId="6" xr:uid="{00000000-0005-0000-0000-000018000000}"/>
    <cellStyle name="Обычный_nkre1" xfId="5" xr:uid="{00000000-0005-0000-0000-000019000000}"/>
    <cellStyle name="Обычный_новий шаблон ф.132" xfId="25" xr:uid="{00000000-0005-0000-0000-00001A000000}"/>
    <cellStyle name="Процентный" xfId="24" builtinId="5"/>
    <cellStyle name="Стиль 1" xfId="22" xr:uid="{00000000-0005-0000-0000-00001C000000}"/>
    <cellStyle name="Финансовый 2" xfId="23" xr:uid="{00000000-0005-0000-0000-00001E000000}"/>
    <cellStyle name="Финансовый 3" xfId="27" xr:uid="{00000000-0005-0000-0000-00001F000000}"/>
    <cellStyle name="Финансовый 3 2" xfId="31" xr:uid="{00000000-0005-0000-0000-000020000000}"/>
    <cellStyle name="Финансовый 4" xfId="29" xr:uid="{00000000-0005-0000-0000-000021000000}"/>
    <cellStyle name="Финансовый 5" xfId="33" xr:uid="{00000000-0005-0000-0000-00002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20"/>
  <sheetViews>
    <sheetView topLeftCell="A10" workbookViewId="0">
      <selection activeCell="I17" sqref="I17"/>
    </sheetView>
  </sheetViews>
  <sheetFormatPr defaultRowHeight="15"/>
  <cols>
    <col min="1" max="1" width="33.5703125" style="60" customWidth="1"/>
    <col min="2" max="2" width="3.5703125" style="60" customWidth="1"/>
    <col min="3" max="3" width="19.42578125" style="60" customWidth="1"/>
    <col min="4" max="4" width="4.140625" style="60" customWidth="1"/>
    <col min="5" max="5" width="16.5703125" style="60" customWidth="1"/>
    <col min="6" max="6" width="5.140625" style="60" customWidth="1"/>
    <col min="7" max="7" width="16.140625" style="60" customWidth="1"/>
    <col min="8" max="16384" width="9.140625" style="60"/>
  </cols>
  <sheetData>
    <row r="1" spans="1:7" ht="102.75" customHeight="1">
      <c r="A1" s="71"/>
      <c r="B1" s="71"/>
      <c r="C1" s="72"/>
      <c r="D1" s="72"/>
      <c r="E1" s="491" t="s">
        <v>263</v>
      </c>
      <c r="F1" s="491"/>
      <c r="G1" s="491"/>
    </row>
    <row r="2" spans="1:7" ht="102.75" customHeight="1">
      <c r="A2" s="71"/>
      <c r="B2" s="71"/>
      <c r="C2" s="72"/>
      <c r="D2" s="72"/>
      <c r="E2" s="73"/>
      <c r="F2" s="73"/>
      <c r="G2" s="73"/>
    </row>
    <row r="3" spans="1:7" ht="52.5" customHeight="1">
      <c r="A3" s="71"/>
      <c r="B3" s="71"/>
      <c r="C3" s="72"/>
      <c r="D3" s="72"/>
      <c r="E3" s="492" t="s">
        <v>264</v>
      </c>
      <c r="F3" s="492"/>
      <c r="G3" s="492"/>
    </row>
    <row r="4" spans="1:7" ht="18.75" customHeight="1">
      <c r="A4" s="71"/>
      <c r="B4" s="71"/>
      <c r="C4" s="72"/>
      <c r="D4" s="72"/>
      <c r="E4" s="74"/>
      <c r="F4" s="74"/>
      <c r="G4" s="74" t="s">
        <v>265</v>
      </c>
    </row>
    <row r="5" spans="1:7" ht="22.5" customHeight="1">
      <c r="A5" s="71"/>
      <c r="B5" s="71"/>
      <c r="C5" s="72"/>
      <c r="D5" s="72"/>
      <c r="E5" s="493" t="s">
        <v>266</v>
      </c>
      <c r="F5" s="493"/>
      <c r="G5" s="493"/>
    </row>
    <row r="6" spans="1:7" ht="17.25" customHeight="1">
      <c r="A6" s="71"/>
      <c r="B6" s="71"/>
      <c r="C6" s="72"/>
      <c r="D6" s="72"/>
      <c r="E6" s="487" t="s">
        <v>173</v>
      </c>
      <c r="F6" s="487"/>
      <c r="G6" s="487"/>
    </row>
    <row r="7" spans="1:7" ht="17.25" customHeight="1">
      <c r="A7" s="71"/>
      <c r="B7" s="71"/>
      <c r="C7" s="72"/>
      <c r="D7" s="72"/>
      <c r="E7" s="75"/>
      <c r="F7" s="75"/>
      <c r="G7" s="75"/>
    </row>
    <row r="8" spans="1:7" ht="17.25" customHeight="1">
      <c r="A8" s="71"/>
      <c r="B8" s="71"/>
      <c r="C8" s="72"/>
      <c r="D8" s="72"/>
      <c r="E8" s="75"/>
      <c r="F8" s="75"/>
      <c r="G8" s="75"/>
    </row>
    <row r="9" spans="1:7" ht="30.75" customHeight="1">
      <c r="A9" s="494" t="s">
        <v>267</v>
      </c>
      <c r="B9" s="494"/>
      <c r="C9" s="494"/>
      <c r="D9" s="494"/>
      <c r="E9" s="494"/>
      <c r="F9" s="494"/>
      <c r="G9" s="71"/>
    </row>
    <row r="10" spans="1:7" ht="36" customHeight="1">
      <c r="A10" s="76" t="s">
        <v>268</v>
      </c>
      <c r="B10" s="488" t="s">
        <v>269</v>
      </c>
      <c r="C10" s="489"/>
      <c r="D10" s="489"/>
      <c r="E10" s="489"/>
      <c r="F10" s="490"/>
      <c r="G10" s="71"/>
    </row>
    <row r="11" spans="1:7" ht="24" customHeight="1">
      <c r="A11" s="77" t="s">
        <v>270</v>
      </c>
      <c r="B11" s="78" t="s">
        <v>271</v>
      </c>
      <c r="C11" s="79" t="s">
        <v>17</v>
      </c>
      <c r="D11" s="80" t="s">
        <v>272</v>
      </c>
      <c r="E11" s="81" t="s">
        <v>394</v>
      </c>
      <c r="F11" s="82"/>
      <c r="G11" s="71"/>
    </row>
    <row r="14" spans="1:7" ht="54.75" customHeight="1">
      <c r="A14" s="71"/>
      <c r="B14" s="71"/>
      <c r="C14" s="72"/>
      <c r="D14" s="72"/>
      <c r="E14" s="485" t="s">
        <v>273</v>
      </c>
      <c r="F14" s="485"/>
      <c r="G14" s="485"/>
    </row>
    <row r="15" spans="1:7" ht="22.5" customHeight="1">
      <c r="A15" s="71"/>
      <c r="B15" s="71"/>
      <c r="C15" s="72"/>
      <c r="D15" s="72"/>
      <c r="E15" s="486"/>
      <c r="F15" s="486"/>
      <c r="G15" s="486"/>
    </row>
    <row r="16" spans="1:7" ht="17.25" customHeight="1">
      <c r="A16" s="71"/>
      <c r="B16" s="71"/>
      <c r="C16" s="72"/>
      <c r="D16" s="72"/>
      <c r="E16" s="487"/>
      <c r="F16" s="487"/>
      <c r="G16" s="487"/>
    </row>
    <row r="17" spans="1:7" ht="54.75" customHeight="1">
      <c r="A17" s="71"/>
      <c r="B17" s="71"/>
      <c r="C17" s="72"/>
      <c r="D17" s="72"/>
      <c r="E17" s="485" t="s">
        <v>751</v>
      </c>
      <c r="F17" s="485"/>
      <c r="G17" s="485"/>
    </row>
    <row r="18" spans="1:7" ht="22.5" customHeight="1">
      <c r="A18" s="71"/>
      <c r="B18" s="71"/>
      <c r="C18" s="72"/>
      <c r="D18" s="72"/>
      <c r="E18" s="486"/>
      <c r="F18" s="486"/>
      <c r="G18" s="486"/>
    </row>
    <row r="19" spans="1:7" ht="17.25" customHeight="1">
      <c r="A19" s="71"/>
      <c r="B19" s="71"/>
      <c r="C19" s="72"/>
      <c r="D19" s="72"/>
      <c r="E19" s="487"/>
      <c r="F19" s="487"/>
      <c r="G19" s="487"/>
    </row>
    <row r="20" spans="1:7" ht="54.75" customHeight="1">
      <c r="A20" s="71"/>
      <c r="B20" s="71"/>
      <c r="C20" s="72"/>
      <c r="D20" s="72"/>
      <c r="E20" s="485" t="s">
        <v>274</v>
      </c>
      <c r="F20" s="485"/>
      <c r="G20" s="485"/>
    </row>
  </sheetData>
  <mergeCells count="13">
    <mergeCell ref="B10:F10"/>
    <mergeCell ref="E1:G1"/>
    <mergeCell ref="E3:G3"/>
    <mergeCell ref="E5:G5"/>
    <mergeCell ref="E6:G6"/>
    <mergeCell ref="A9:F9"/>
    <mergeCell ref="E20:G20"/>
    <mergeCell ref="E14:G14"/>
    <mergeCell ref="E15:G15"/>
    <mergeCell ref="E16:G16"/>
    <mergeCell ref="E17:G17"/>
    <mergeCell ref="E18:G18"/>
    <mergeCell ref="E19:G19"/>
  </mergeCells>
  <pageMargins left="1.0629921259842521" right="0.39370078740157483" top="0.70866141732283472" bottom="0.98425196850393704" header="0.51181102362204722" footer="0.51181102362204722"/>
  <pageSetup paperSize="9" scale="94" pageOrder="overThenDown"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2:T261"/>
  <sheetViews>
    <sheetView zoomScale="60" zoomScaleNormal="60" workbookViewId="0">
      <pane xSplit="3" ySplit="8" topLeftCell="G54" activePane="bottomRight" state="frozen"/>
      <selection pane="topRight" activeCell="D1" sqref="D1"/>
      <selection pane="bottomLeft" activeCell="A9" sqref="A9"/>
      <selection pane="bottomRight" activeCell="O44" sqref="O44:O45"/>
    </sheetView>
  </sheetViews>
  <sheetFormatPr defaultRowHeight="12.75"/>
  <cols>
    <col min="1" max="1" width="5.5703125" style="219" customWidth="1"/>
    <col min="2" max="2" width="16.5703125" style="219" customWidth="1"/>
    <col min="3" max="3" width="27.140625" style="219" customWidth="1"/>
    <col min="4" max="4" width="10.85546875" style="219" customWidth="1"/>
    <col min="5" max="5" width="12.28515625" style="219" customWidth="1"/>
    <col min="6" max="6" width="12.140625" style="219" customWidth="1"/>
    <col min="7" max="7" width="9.28515625" style="219" customWidth="1"/>
    <col min="8" max="8" width="16.5703125" style="219" customWidth="1"/>
    <col min="9" max="9" width="20.42578125" style="219" customWidth="1"/>
    <col min="10" max="10" width="22" style="219" customWidth="1"/>
    <col min="11" max="11" width="7.28515625" style="219" customWidth="1"/>
    <col min="12" max="12" width="19.140625" style="219" customWidth="1"/>
    <col min="13" max="13" width="10.140625" style="219" customWidth="1"/>
    <col min="14" max="14" width="15.7109375" style="219" customWidth="1"/>
    <col min="15" max="15" width="16.85546875" style="219" customWidth="1"/>
    <col min="16" max="16" width="15" style="219" customWidth="1"/>
    <col min="17" max="17" width="18" style="219" customWidth="1"/>
    <col min="18" max="18" width="13.85546875" style="219" customWidth="1"/>
    <col min="19" max="19" width="20.85546875" style="219" customWidth="1"/>
    <col min="20" max="20" width="12.85546875" style="219" customWidth="1"/>
    <col min="21" max="256" width="9.140625" style="219"/>
    <col min="257" max="257" width="8" style="219" customWidth="1"/>
    <col min="258" max="258" width="16.5703125" style="219" customWidth="1"/>
    <col min="259" max="259" width="41.28515625" style="219" customWidth="1"/>
    <col min="260" max="260" width="20.42578125" style="219" customWidth="1"/>
    <col min="261" max="261" width="20.140625" style="219" customWidth="1"/>
    <col min="262" max="262" width="26.42578125" style="219" customWidth="1"/>
    <col min="263" max="263" width="18.42578125" style="219" customWidth="1"/>
    <col min="264" max="264" width="32.7109375" style="219" customWidth="1"/>
    <col min="265" max="265" width="33.28515625" style="219" customWidth="1"/>
    <col min="266" max="266" width="40.5703125" style="219" customWidth="1"/>
    <col min="267" max="267" width="20.7109375" style="219" customWidth="1"/>
    <col min="268" max="268" width="27" style="219" customWidth="1"/>
    <col min="269" max="269" width="11.85546875" style="219" customWidth="1"/>
    <col min="270" max="272" width="26.140625" style="219" customWidth="1"/>
    <col min="273" max="273" width="19.140625" style="219" customWidth="1"/>
    <col min="274" max="274" width="26.28515625" style="219" customWidth="1"/>
    <col min="275" max="275" width="36.140625" style="219" customWidth="1"/>
    <col min="276" max="276" width="17.5703125" style="219" customWidth="1"/>
    <col min="277" max="512" width="9.140625" style="219"/>
    <col min="513" max="513" width="8" style="219" customWidth="1"/>
    <col min="514" max="514" width="16.5703125" style="219" customWidth="1"/>
    <col min="515" max="515" width="41.28515625" style="219" customWidth="1"/>
    <col min="516" max="516" width="20.42578125" style="219" customWidth="1"/>
    <col min="517" max="517" width="20.140625" style="219" customWidth="1"/>
    <col min="518" max="518" width="26.42578125" style="219" customWidth="1"/>
    <col min="519" max="519" width="18.42578125" style="219" customWidth="1"/>
    <col min="520" max="520" width="32.7109375" style="219" customWidth="1"/>
    <col min="521" max="521" width="33.28515625" style="219" customWidth="1"/>
    <col min="522" max="522" width="40.5703125" style="219" customWidth="1"/>
    <col min="523" max="523" width="20.7109375" style="219" customWidth="1"/>
    <col min="524" max="524" width="27" style="219" customWidth="1"/>
    <col min="525" max="525" width="11.85546875" style="219" customWidth="1"/>
    <col min="526" max="528" width="26.140625" style="219" customWidth="1"/>
    <col min="529" max="529" width="19.140625" style="219" customWidth="1"/>
    <col min="530" max="530" width="26.28515625" style="219" customWidth="1"/>
    <col min="531" max="531" width="36.140625" style="219" customWidth="1"/>
    <col min="532" max="532" width="17.5703125" style="219" customWidth="1"/>
    <col min="533" max="768" width="9.140625" style="219"/>
    <col min="769" max="769" width="8" style="219" customWidth="1"/>
    <col min="770" max="770" width="16.5703125" style="219" customWidth="1"/>
    <col min="771" max="771" width="41.28515625" style="219" customWidth="1"/>
    <col min="772" max="772" width="20.42578125" style="219" customWidth="1"/>
    <col min="773" max="773" width="20.140625" style="219" customWidth="1"/>
    <col min="774" max="774" width="26.42578125" style="219" customWidth="1"/>
    <col min="775" max="775" width="18.42578125" style="219" customWidth="1"/>
    <col min="776" max="776" width="32.7109375" style="219" customWidth="1"/>
    <col min="777" max="777" width="33.28515625" style="219" customWidth="1"/>
    <col min="778" max="778" width="40.5703125" style="219" customWidth="1"/>
    <col min="779" max="779" width="20.7109375" style="219" customWidth="1"/>
    <col min="780" max="780" width="27" style="219" customWidth="1"/>
    <col min="781" max="781" width="11.85546875" style="219" customWidth="1"/>
    <col min="782" max="784" width="26.140625" style="219" customWidth="1"/>
    <col min="785" max="785" width="19.140625" style="219" customWidth="1"/>
    <col min="786" max="786" width="26.28515625" style="219" customWidth="1"/>
    <col min="787" max="787" width="36.140625" style="219" customWidth="1"/>
    <col min="788" max="788" width="17.5703125" style="219" customWidth="1"/>
    <col min="789" max="1024" width="9.140625" style="219"/>
    <col min="1025" max="1025" width="8" style="219" customWidth="1"/>
    <col min="1026" max="1026" width="16.5703125" style="219" customWidth="1"/>
    <col min="1027" max="1027" width="41.28515625" style="219" customWidth="1"/>
    <col min="1028" max="1028" width="20.42578125" style="219" customWidth="1"/>
    <col min="1029" max="1029" width="20.140625" style="219" customWidth="1"/>
    <col min="1030" max="1030" width="26.42578125" style="219" customWidth="1"/>
    <col min="1031" max="1031" width="18.42578125" style="219" customWidth="1"/>
    <col min="1032" max="1032" width="32.7109375" style="219" customWidth="1"/>
    <col min="1033" max="1033" width="33.28515625" style="219" customWidth="1"/>
    <col min="1034" max="1034" width="40.5703125" style="219" customWidth="1"/>
    <col min="1035" max="1035" width="20.7109375" style="219" customWidth="1"/>
    <col min="1036" max="1036" width="27" style="219" customWidth="1"/>
    <col min="1037" max="1037" width="11.85546875" style="219" customWidth="1"/>
    <col min="1038" max="1040" width="26.140625" style="219" customWidth="1"/>
    <col min="1041" max="1041" width="19.140625" style="219" customWidth="1"/>
    <col min="1042" max="1042" width="26.28515625" style="219" customWidth="1"/>
    <col min="1043" max="1043" width="36.140625" style="219" customWidth="1"/>
    <col min="1044" max="1044" width="17.5703125" style="219" customWidth="1"/>
    <col min="1045" max="1280" width="9.140625" style="219"/>
    <col min="1281" max="1281" width="8" style="219" customWidth="1"/>
    <col min="1282" max="1282" width="16.5703125" style="219" customWidth="1"/>
    <col min="1283" max="1283" width="41.28515625" style="219" customWidth="1"/>
    <col min="1284" max="1284" width="20.42578125" style="219" customWidth="1"/>
    <col min="1285" max="1285" width="20.140625" style="219" customWidth="1"/>
    <col min="1286" max="1286" width="26.42578125" style="219" customWidth="1"/>
    <col min="1287" max="1287" width="18.42578125" style="219" customWidth="1"/>
    <col min="1288" max="1288" width="32.7109375" style="219" customWidth="1"/>
    <col min="1289" max="1289" width="33.28515625" style="219" customWidth="1"/>
    <col min="1290" max="1290" width="40.5703125" style="219" customWidth="1"/>
    <col min="1291" max="1291" width="20.7109375" style="219" customWidth="1"/>
    <col min="1292" max="1292" width="27" style="219" customWidth="1"/>
    <col min="1293" max="1293" width="11.85546875" style="219" customWidth="1"/>
    <col min="1294" max="1296" width="26.140625" style="219" customWidth="1"/>
    <col min="1297" max="1297" width="19.140625" style="219" customWidth="1"/>
    <col min="1298" max="1298" width="26.28515625" style="219" customWidth="1"/>
    <col min="1299" max="1299" width="36.140625" style="219" customWidth="1"/>
    <col min="1300" max="1300" width="17.5703125" style="219" customWidth="1"/>
    <col min="1301" max="1536" width="9.140625" style="219"/>
    <col min="1537" max="1537" width="8" style="219" customWidth="1"/>
    <col min="1538" max="1538" width="16.5703125" style="219" customWidth="1"/>
    <col min="1539" max="1539" width="41.28515625" style="219" customWidth="1"/>
    <col min="1540" max="1540" width="20.42578125" style="219" customWidth="1"/>
    <col min="1541" max="1541" width="20.140625" style="219" customWidth="1"/>
    <col min="1542" max="1542" width="26.42578125" style="219" customWidth="1"/>
    <col min="1543" max="1543" width="18.42578125" style="219" customWidth="1"/>
    <col min="1544" max="1544" width="32.7109375" style="219" customWidth="1"/>
    <col min="1545" max="1545" width="33.28515625" style="219" customWidth="1"/>
    <col min="1546" max="1546" width="40.5703125" style="219" customWidth="1"/>
    <col min="1547" max="1547" width="20.7109375" style="219" customWidth="1"/>
    <col min="1548" max="1548" width="27" style="219" customWidth="1"/>
    <col min="1549" max="1549" width="11.85546875" style="219" customWidth="1"/>
    <col min="1550" max="1552" width="26.140625" style="219" customWidth="1"/>
    <col min="1553" max="1553" width="19.140625" style="219" customWidth="1"/>
    <col min="1554" max="1554" width="26.28515625" style="219" customWidth="1"/>
    <col min="1555" max="1555" width="36.140625" style="219" customWidth="1"/>
    <col min="1556" max="1556" width="17.5703125" style="219" customWidth="1"/>
    <col min="1557" max="1792" width="9.140625" style="219"/>
    <col min="1793" max="1793" width="8" style="219" customWidth="1"/>
    <col min="1794" max="1794" width="16.5703125" style="219" customWidth="1"/>
    <col min="1795" max="1795" width="41.28515625" style="219" customWidth="1"/>
    <col min="1796" max="1796" width="20.42578125" style="219" customWidth="1"/>
    <col min="1797" max="1797" width="20.140625" style="219" customWidth="1"/>
    <col min="1798" max="1798" width="26.42578125" style="219" customWidth="1"/>
    <col min="1799" max="1799" width="18.42578125" style="219" customWidth="1"/>
    <col min="1800" max="1800" width="32.7109375" style="219" customWidth="1"/>
    <col min="1801" max="1801" width="33.28515625" style="219" customWidth="1"/>
    <col min="1802" max="1802" width="40.5703125" style="219" customWidth="1"/>
    <col min="1803" max="1803" width="20.7109375" style="219" customWidth="1"/>
    <col min="1804" max="1804" width="27" style="219" customWidth="1"/>
    <col min="1805" max="1805" width="11.85546875" style="219" customWidth="1"/>
    <col min="1806" max="1808" width="26.140625" style="219" customWidth="1"/>
    <col min="1809" max="1809" width="19.140625" style="219" customWidth="1"/>
    <col min="1810" max="1810" width="26.28515625" style="219" customWidth="1"/>
    <col min="1811" max="1811" width="36.140625" style="219" customWidth="1"/>
    <col min="1812" max="1812" width="17.5703125" style="219" customWidth="1"/>
    <col min="1813" max="2048" width="9.140625" style="219"/>
    <col min="2049" max="2049" width="8" style="219" customWidth="1"/>
    <col min="2050" max="2050" width="16.5703125" style="219" customWidth="1"/>
    <col min="2051" max="2051" width="41.28515625" style="219" customWidth="1"/>
    <col min="2052" max="2052" width="20.42578125" style="219" customWidth="1"/>
    <col min="2053" max="2053" width="20.140625" style="219" customWidth="1"/>
    <col min="2054" max="2054" width="26.42578125" style="219" customWidth="1"/>
    <col min="2055" max="2055" width="18.42578125" style="219" customWidth="1"/>
    <col min="2056" max="2056" width="32.7109375" style="219" customWidth="1"/>
    <col min="2057" max="2057" width="33.28515625" style="219" customWidth="1"/>
    <col min="2058" max="2058" width="40.5703125" style="219" customWidth="1"/>
    <col min="2059" max="2059" width="20.7109375" style="219" customWidth="1"/>
    <col min="2060" max="2060" width="27" style="219" customWidth="1"/>
    <col min="2061" max="2061" width="11.85546875" style="219" customWidth="1"/>
    <col min="2062" max="2064" width="26.140625" style="219" customWidth="1"/>
    <col min="2065" max="2065" width="19.140625" style="219" customWidth="1"/>
    <col min="2066" max="2066" width="26.28515625" style="219" customWidth="1"/>
    <col min="2067" max="2067" width="36.140625" style="219" customWidth="1"/>
    <col min="2068" max="2068" width="17.5703125" style="219" customWidth="1"/>
    <col min="2069" max="2304" width="9.140625" style="219"/>
    <col min="2305" max="2305" width="8" style="219" customWidth="1"/>
    <col min="2306" max="2306" width="16.5703125" style="219" customWidth="1"/>
    <col min="2307" max="2307" width="41.28515625" style="219" customWidth="1"/>
    <col min="2308" max="2308" width="20.42578125" style="219" customWidth="1"/>
    <col min="2309" max="2309" width="20.140625" style="219" customWidth="1"/>
    <col min="2310" max="2310" width="26.42578125" style="219" customWidth="1"/>
    <col min="2311" max="2311" width="18.42578125" style="219" customWidth="1"/>
    <col min="2312" max="2312" width="32.7109375" style="219" customWidth="1"/>
    <col min="2313" max="2313" width="33.28515625" style="219" customWidth="1"/>
    <col min="2314" max="2314" width="40.5703125" style="219" customWidth="1"/>
    <col min="2315" max="2315" width="20.7109375" style="219" customWidth="1"/>
    <col min="2316" max="2316" width="27" style="219" customWidth="1"/>
    <col min="2317" max="2317" width="11.85546875" style="219" customWidth="1"/>
    <col min="2318" max="2320" width="26.140625" style="219" customWidth="1"/>
    <col min="2321" max="2321" width="19.140625" style="219" customWidth="1"/>
    <col min="2322" max="2322" width="26.28515625" style="219" customWidth="1"/>
    <col min="2323" max="2323" width="36.140625" style="219" customWidth="1"/>
    <col min="2324" max="2324" width="17.5703125" style="219" customWidth="1"/>
    <col min="2325" max="2560" width="9.140625" style="219"/>
    <col min="2561" max="2561" width="8" style="219" customWidth="1"/>
    <col min="2562" max="2562" width="16.5703125" style="219" customWidth="1"/>
    <col min="2563" max="2563" width="41.28515625" style="219" customWidth="1"/>
    <col min="2564" max="2564" width="20.42578125" style="219" customWidth="1"/>
    <col min="2565" max="2565" width="20.140625" style="219" customWidth="1"/>
    <col min="2566" max="2566" width="26.42578125" style="219" customWidth="1"/>
    <col min="2567" max="2567" width="18.42578125" style="219" customWidth="1"/>
    <col min="2568" max="2568" width="32.7109375" style="219" customWidth="1"/>
    <col min="2569" max="2569" width="33.28515625" style="219" customWidth="1"/>
    <col min="2570" max="2570" width="40.5703125" style="219" customWidth="1"/>
    <col min="2571" max="2571" width="20.7109375" style="219" customWidth="1"/>
    <col min="2572" max="2572" width="27" style="219" customWidth="1"/>
    <col min="2573" max="2573" width="11.85546875" style="219" customWidth="1"/>
    <col min="2574" max="2576" width="26.140625" style="219" customWidth="1"/>
    <col min="2577" max="2577" width="19.140625" style="219" customWidth="1"/>
    <col min="2578" max="2578" width="26.28515625" style="219" customWidth="1"/>
    <col min="2579" max="2579" width="36.140625" style="219" customWidth="1"/>
    <col min="2580" max="2580" width="17.5703125" style="219" customWidth="1"/>
    <col min="2581" max="2816" width="9.140625" style="219"/>
    <col min="2817" max="2817" width="8" style="219" customWidth="1"/>
    <col min="2818" max="2818" width="16.5703125" style="219" customWidth="1"/>
    <col min="2819" max="2819" width="41.28515625" style="219" customWidth="1"/>
    <col min="2820" max="2820" width="20.42578125" style="219" customWidth="1"/>
    <col min="2821" max="2821" width="20.140625" style="219" customWidth="1"/>
    <col min="2822" max="2822" width="26.42578125" style="219" customWidth="1"/>
    <col min="2823" max="2823" width="18.42578125" style="219" customWidth="1"/>
    <col min="2824" max="2824" width="32.7109375" style="219" customWidth="1"/>
    <col min="2825" max="2825" width="33.28515625" style="219" customWidth="1"/>
    <col min="2826" max="2826" width="40.5703125" style="219" customWidth="1"/>
    <col min="2827" max="2827" width="20.7109375" style="219" customWidth="1"/>
    <col min="2828" max="2828" width="27" style="219" customWidth="1"/>
    <col min="2829" max="2829" width="11.85546875" style="219" customWidth="1"/>
    <col min="2830" max="2832" width="26.140625" style="219" customWidth="1"/>
    <col min="2833" max="2833" width="19.140625" style="219" customWidth="1"/>
    <col min="2834" max="2834" width="26.28515625" style="219" customWidth="1"/>
    <col min="2835" max="2835" width="36.140625" style="219" customWidth="1"/>
    <col min="2836" max="2836" width="17.5703125" style="219" customWidth="1"/>
    <col min="2837" max="3072" width="9.140625" style="219"/>
    <col min="3073" max="3073" width="8" style="219" customWidth="1"/>
    <col min="3074" max="3074" width="16.5703125" style="219" customWidth="1"/>
    <col min="3075" max="3075" width="41.28515625" style="219" customWidth="1"/>
    <col min="3076" max="3076" width="20.42578125" style="219" customWidth="1"/>
    <col min="3077" max="3077" width="20.140625" style="219" customWidth="1"/>
    <col min="3078" max="3078" width="26.42578125" style="219" customWidth="1"/>
    <col min="3079" max="3079" width="18.42578125" style="219" customWidth="1"/>
    <col min="3080" max="3080" width="32.7109375" style="219" customWidth="1"/>
    <col min="3081" max="3081" width="33.28515625" style="219" customWidth="1"/>
    <col min="3082" max="3082" width="40.5703125" style="219" customWidth="1"/>
    <col min="3083" max="3083" width="20.7109375" style="219" customWidth="1"/>
    <col min="3084" max="3084" width="27" style="219" customWidth="1"/>
    <col min="3085" max="3085" width="11.85546875" style="219" customWidth="1"/>
    <col min="3086" max="3088" width="26.140625" style="219" customWidth="1"/>
    <col min="3089" max="3089" width="19.140625" style="219" customWidth="1"/>
    <col min="3090" max="3090" width="26.28515625" style="219" customWidth="1"/>
    <col min="3091" max="3091" width="36.140625" style="219" customWidth="1"/>
    <col min="3092" max="3092" width="17.5703125" style="219" customWidth="1"/>
    <col min="3093" max="3328" width="9.140625" style="219"/>
    <col min="3329" max="3329" width="8" style="219" customWidth="1"/>
    <col min="3330" max="3330" width="16.5703125" style="219" customWidth="1"/>
    <col min="3331" max="3331" width="41.28515625" style="219" customWidth="1"/>
    <col min="3332" max="3332" width="20.42578125" style="219" customWidth="1"/>
    <col min="3333" max="3333" width="20.140625" style="219" customWidth="1"/>
    <col min="3334" max="3334" width="26.42578125" style="219" customWidth="1"/>
    <col min="3335" max="3335" width="18.42578125" style="219" customWidth="1"/>
    <col min="3336" max="3336" width="32.7109375" style="219" customWidth="1"/>
    <col min="3337" max="3337" width="33.28515625" style="219" customWidth="1"/>
    <col min="3338" max="3338" width="40.5703125" style="219" customWidth="1"/>
    <col min="3339" max="3339" width="20.7109375" style="219" customWidth="1"/>
    <col min="3340" max="3340" width="27" style="219" customWidth="1"/>
    <col min="3341" max="3341" width="11.85546875" style="219" customWidth="1"/>
    <col min="3342" max="3344" width="26.140625" style="219" customWidth="1"/>
    <col min="3345" max="3345" width="19.140625" style="219" customWidth="1"/>
    <col min="3346" max="3346" width="26.28515625" style="219" customWidth="1"/>
    <col min="3347" max="3347" width="36.140625" style="219" customWidth="1"/>
    <col min="3348" max="3348" width="17.5703125" style="219" customWidth="1"/>
    <col min="3349" max="3584" width="9.140625" style="219"/>
    <col min="3585" max="3585" width="8" style="219" customWidth="1"/>
    <col min="3586" max="3586" width="16.5703125" style="219" customWidth="1"/>
    <col min="3587" max="3587" width="41.28515625" style="219" customWidth="1"/>
    <col min="3588" max="3588" width="20.42578125" style="219" customWidth="1"/>
    <col min="3589" max="3589" width="20.140625" style="219" customWidth="1"/>
    <col min="3590" max="3590" width="26.42578125" style="219" customWidth="1"/>
    <col min="3591" max="3591" width="18.42578125" style="219" customWidth="1"/>
    <col min="3592" max="3592" width="32.7109375" style="219" customWidth="1"/>
    <col min="3593" max="3593" width="33.28515625" style="219" customWidth="1"/>
    <col min="3594" max="3594" width="40.5703125" style="219" customWidth="1"/>
    <col min="3595" max="3595" width="20.7109375" style="219" customWidth="1"/>
    <col min="3596" max="3596" width="27" style="219" customWidth="1"/>
    <col min="3597" max="3597" width="11.85546875" style="219" customWidth="1"/>
    <col min="3598" max="3600" width="26.140625" style="219" customWidth="1"/>
    <col min="3601" max="3601" width="19.140625" style="219" customWidth="1"/>
    <col min="3602" max="3602" width="26.28515625" style="219" customWidth="1"/>
    <col min="3603" max="3603" width="36.140625" style="219" customWidth="1"/>
    <col min="3604" max="3604" width="17.5703125" style="219" customWidth="1"/>
    <col min="3605" max="3840" width="9.140625" style="219"/>
    <col min="3841" max="3841" width="8" style="219" customWidth="1"/>
    <col min="3842" max="3842" width="16.5703125" style="219" customWidth="1"/>
    <col min="3843" max="3843" width="41.28515625" style="219" customWidth="1"/>
    <col min="3844" max="3844" width="20.42578125" style="219" customWidth="1"/>
    <col min="3845" max="3845" width="20.140625" style="219" customWidth="1"/>
    <col min="3846" max="3846" width="26.42578125" style="219" customWidth="1"/>
    <col min="3847" max="3847" width="18.42578125" style="219" customWidth="1"/>
    <col min="3848" max="3848" width="32.7109375" style="219" customWidth="1"/>
    <col min="3849" max="3849" width="33.28515625" style="219" customWidth="1"/>
    <col min="3850" max="3850" width="40.5703125" style="219" customWidth="1"/>
    <col min="3851" max="3851" width="20.7109375" style="219" customWidth="1"/>
    <col min="3852" max="3852" width="27" style="219" customWidth="1"/>
    <col min="3853" max="3853" width="11.85546875" style="219" customWidth="1"/>
    <col min="3854" max="3856" width="26.140625" style="219" customWidth="1"/>
    <col min="3857" max="3857" width="19.140625" style="219" customWidth="1"/>
    <col min="3858" max="3858" width="26.28515625" style="219" customWidth="1"/>
    <col min="3859" max="3859" width="36.140625" style="219" customWidth="1"/>
    <col min="3860" max="3860" width="17.5703125" style="219" customWidth="1"/>
    <col min="3861" max="4096" width="9.140625" style="219"/>
    <col min="4097" max="4097" width="8" style="219" customWidth="1"/>
    <col min="4098" max="4098" width="16.5703125" style="219" customWidth="1"/>
    <col min="4099" max="4099" width="41.28515625" style="219" customWidth="1"/>
    <col min="4100" max="4100" width="20.42578125" style="219" customWidth="1"/>
    <col min="4101" max="4101" width="20.140625" style="219" customWidth="1"/>
    <col min="4102" max="4102" width="26.42578125" style="219" customWidth="1"/>
    <col min="4103" max="4103" width="18.42578125" style="219" customWidth="1"/>
    <col min="4104" max="4104" width="32.7109375" style="219" customWidth="1"/>
    <col min="4105" max="4105" width="33.28515625" style="219" customWidth="1"/>
    <col min="4106" max="4106" width="40.5703125" style="219" customWidth="1"/>
    <col min="4107" max="4107" width="20.7109375" style="219" customWidth="1"/>
    <col min="4108" max="4108" width="27" style="219" customWidth="1"/>
    <col min="4109" max="4109" width="11.85546875" style="219" customWidth="1"/>
    <col min="4110" max="4112" width="26.140625" style="219" customWidth="1"/>
    <col min="4113" max="4113" width="19.140625" style="219" customWidth="1"/>
    <col min="4114" max="4114" width="26.28515625" style="219" customWidth="1"/>
    <col min="4115" max="4115" width="36.140625" style="219" customWidth="1"/>
    <col min="4116" max="4116" width="17.5703125" style="219" customWidth="1"/>
    <col min="4117" max="4352" width="9.140625" style="219"/>
    <col min="4353" max="4353" width="8" style="219" customWidth="1"/>
    <col min="4354" max="4354" width="16.5703125" style="219" customWidth="1"/>
    <col min="4355" max="4355" width="41.28515625" style="219" customWidth="1"/>
    <col min="4356" max="4356" width="20.42578125" style="219" customWidth="1"/>
    <col min="4357" max="4357" width="20.140625" style="219" customWidth="1"/>
    <col min="4358" max="4358" width="26.42578125" style="219" customWidth="1"/>
    <col min="4359" max="4359" width="18.42578125" style="219" customWidth="1"/>
    <col min="4360" max="4360" width="32.7109375" style="219" customWidth="1"/>
    <col min="4361" max="4361" width="33.28515625" style="219" customWidth="1"/>
    <col min="4362" max="4362" width="40.5703125" style="219" customWidth="1"/>
    <col min="4363" max="4363" width="20.7109375" style="219" customWidth="1"/>
    <col min="4364" max="4364" width="27" style="219" customWidth="1"/>
    <col min="4365" max="4365" width="11.85546875" style="219" customWidth="1"/>
    <col min="4366" max="4368" width="26.140625" style="219" customWidth="1"/>
    <col min="4369" max="4369" width="19.140625" style="219" customWidth="1"/>
    <col min="4370" max="4370" width="26.28515625" style="219" customWidth="1"/>
    <col min="4371" max="4371" width="36.140625" style="219" customWidth="1"/>
    <col min="4372" max="4372" width="17.5703125" style="219" customWidth="1"/>
    <col min="4373" max="4608" width="9.140625" style="219"/>
    <col min="4609" max="4609" width="8" style="219" customWidth="1"/>
    <col min="4610" max="4610" width="16.5703125" style="219" customWidth="1"/>
    <col min="4611" max="4611" width="41.28515625" style="219" customWidth="1"/>
    <col min="4612" max="4612" width="20.42578125" style="219" customWidth="1"/>
    <col min="4613" max="4613" width="20.140625" style="219" customWidth="1"/>
    <col min="4614" max="4614" width="26.42578125" style="219" customWidth="1"/>
    <col min="4615" max="4615" width="18.42578125" style="219" customWidth="1"/>
    <col min="4616" max="4616" width="32.7109375" style="219" customWidth="1"/>
    <col min="4617" max="4617" width="33.28515625" style="219" customWidth="1"/>
    <col min="4618" max="4618" width="40.5703125" style="219" customWidth="1"/>
    <col min="4619" max="4619" width="20.7109375" style="219" customWidth="1"/>
    <col min="4620" max="4620" width="27" style="219" customWidth="1"/>
    <col min="4621" max="4621" width="11.85546875" style="219" customWidth="1"/>
    <col min="4622" max="4624" width="26.140625" style="219" customWidth="1"/>
    <col min="4625" max="4625" width="19.140625" style="219" customWidth="1"/>
    <col min="4626" max="4626" width="26.28515625" style="219" customWidth="1"/>
    <col min="4627" max="4627" width="36.140625" style="219" customWidth="1"/>
    <col min="4628" max="4628" width="17.5703125" style="219" customWidth="1"/>
    <col min="4629" max="4864" width="9.140625" style="219"/>
    <col min="4865" max="4865" width="8" style="219" customWidth="1"/>
    <col min="4866" max="4866" width="16.5703125" style="219" customWidth="1"/>
    <col min="4867" max="4867" width="41.28515625" style="219" customWidth="1"/>
    <col min="4868" max="4868" width="20.42578125" style="219" customWidth="1"/>
    <col min="4869" max="4869" width="20.140625" style="219" customWidth="1"/>
    <col min="4870" max="4870" width="26.42578125" style="219" customWidth="1"/>
    <col min="4871" max="4871" width="18.42578125" style="219" customWidth="1"/>
    <col min="4872" max="4872" width="32.7109375" style="219" customWidth="1"/>
    <col min="4873" max="4873" width="33.28515625" style="219" customWidth="1"/>
    <col min="4874" max="4874" width="40.5703125" style="219" customWidth="1"/>
    <col min="4875" max="4875" width="20.7109375" style="219" customWidth="1"/>
    <col min="4876" max="4876" width="27" style="219" customWidth="1"/>
    <col min="4877" max="4877" width="11.85546875" style="219" customWidth="1"/>
    <col min="4878" max="4880" width="26.140625" style="219" customWidth="1"/>
    <col min="4881" max="4881" width="19.140625" style="219" customWidth="1"/>
    <col min="4882" max="4882" width="26.28515625" style="219" customWidth="1"/>
    <col min="4883" max="4883" width="36.140625" style="219" customWidth="1"/>
    <col min="4884" max="4884" width="17.5703125" style="219" customWidth="1"/>
    <col min="4885" max="5120" width="9.140625" style="219"/>
    <col min="5121" max="5121" width="8" style="219" customWidth="1"/>
    <col min="5122" max="5122" width="16.5703125" style="219" customWidth="1"/>
    <col min="5123" max="5123" width="41.28515625" style="219" customWidth="1"/>
    <col min="5124" max="5124" width="20.42578125" style="219" customWidth="1"/>
    <col min="5125" max="5125" width="20.140625" style="219" customWidth="1"/>
    <col min="5126" max="5126" width="26.42578125" style="219" customWidth="1"/>
    <col min="5127" max="5127" width="18.42578125" style="219" customWidth="1"/>
    <col min="5128" max="5128" width="32.7109375" style="219" customWidth="1"/>
    <col min="5129" max="5129" width="33.28515625" style="219" customWidth="1"/>
    <col min="5130" max="5130" width="40.5703125" style="219" customWidth="1"/>
    <col min="5131" max="5131" width="20.7109375" style="219" customWidth="1"/>
    <col min="5132" max="5132" width="27" style="219" customWidth="1"/>
    <col min="5133" max="5133" width="11.85546875" style="219" customWidth="1"/>
    <col min="5134" max="5136" width="26.140625" style="219" customWidth="1"/>
    <col min="5137" max="5137" width="19.140625" style="219" customWidth="1"/>
    <col min="5138" max="5138" width="26.28515625" style="219" customWidth="1"/>
    <col min="5139" max="5139" width="36.140625" style="219" customWidth="1"/>
    <col min="5140" max="5140" width="17.5703125" style="219" customWidth="1"/>
    <col min="5141" max="5376" width="9.140625" style="219"/>
    <col min="5377" max="5377" width="8" style="219" customWidth="1"/>
    <col min="5378" max="5378" width="16.5703125" style="219" customWidth="1"/>
    <col min="5379" max="5379" width="41.28515625" style="219" customWidth="1"/>
    <col min="5380" max="5380" width="20.42578125" style="219" customWidth="1"/>
    <col min="5381" max="5381" width="20.140625" style="219" customWidth="1"/>
    <col min="5382" max="5382" width="26.42578125" style="219" customWidth="1"/>
    <col min="5383" max="5383" width="18.42578125" style="219" customWidth="1"/>
    <col min="5384" max="5384" width="32.7109375" style="219" customWidth="1"/>
    <col min="5385" max="5385" width="33.28515625" style="219" customWidth="1"/>
    <col min="5386" max="5386" width="40.5703125" style="219" customWidth="1"/>
    <col min="5387" max="5387" width="20.7109375" style="219" customWidth="1"/>
    <col min="5388" max="5388" width="27" style="219" customWidth="1"/>
    <col min="5389" max="5389" width="11.85546875" style="219" customWidth="1"/>
    <col min="5390" max="5392" width="26.140625" style="219" customWidth="1"/>
    <col min="5393" max="5393" width="19.140625" style="219" customWidth="1"/>
    <col min="5394" max="5394" width="26.28515625" style="219" customWidth="1"/>
    <col min="5395" max="5395" width="36.140625" style="219" customWidth="1"/>
    <col min="5396" max="5396" width="17.5703125" style="219" customWidth="1"/>
    <col min="5397" max="5632" width="9.140625" style="219"/>
    <col min="5633" max="5633" width="8" style="219" customWidth="1"/>
    <col min="5634" max="5634" width="16.5703125" style="219" customWidth="1"/>
    <col min="5635" max="5635" width="41.28515625" style="219" customWidth="1"/>
    <col min="5636" max="5636" width="20.42578125" style="219" customWidth="1"/>
    <col min="5637" max="5637" width="20.140625" style="219" customWidth="1"/>
    <col min="5638" max="5638" width="26.42578125" style="219" customWidth="1"/>
    <col min="5639" max="5639" width="18.42578125" style="219" customWidth="1"/>
    <col min="5640" max="5640" width="32.7109375" style="219" customWidth="1"/>
    <col min="5641" max="5641" width="33.28515625" style="219" customWidth="1"/>
    <col min="5642" max="5642" width="40.5703125" style="219" customWidth="1"/>
    <col min="5643" max="5643" width="20.7109375" style="219" customWidth="1"/>
    <col min="5644" max="5644" width="27" style="219" customWidth="1"/>
    <col min="5645" max="5645" width="11.85546875" style="219" customWidth="1"/>
    <col min="5646" max="5648" width="26.140625" style="219" customWidth="1"/>
    <col min="5649" max="5649" width="19.140625" style="219" customWidth="1"/>
    <col min="5650" max="5650" width="26.28515625" style="219" customWidth="1"/>
    <col min="5651" max="5651" width="36.140625" style="219" customWidth="1"/>
    <col min="5652" max="5652" width="17.5703125" style="219" customWidth="1"/>
    <col min="5653" max="5888" width="9.140625" style="219"/>
    <col min="5889" max="5889" width="8" style="219" customWidth="1"/>
    <col min="5890" max="5890" width="16.5703125" style="219" customWidth="1"/>
    <col min="5891" max="5891" width="41.28515625" style="219" customWidth="1"/>
    <col min="5892" max="5892" width="20.42578125" style="219" customWidth="1"/>
    <col min="5893" max="5893" width="20.140625" style="219" customWidth="1"/>
    <col min="5894" max="5894" width="26.42578125" style="219" customWidth="1"/>
    <col min="5895" max="5895" width="18.42578125" style="219" customWidth="1"/>
    <col min="5896" max="5896" width="32.7109375" style="219" customWidth="1"/>
    <col min="5897" max="5897" width="33.28515625" style="219" customWidth="1"/>
    <col min="5898" max="5898" width="40.5703125" style="219" customWidth="1"/>
    <col min="5899" max="5899" width="20.7109375" style="219" customWidth="1"/>
    <col min="5900" max="5900" width="27" style="219" customWidth="1"/>
    <col min="5901" max="5901" width="11.85546875" style="219" customWidth="1"/>
    <col min="5902" max="5904" width="26.140625" style="219" customWidth="1"/>
    <col min="5905" max="5905" width="19.140625" style="219" customWidth="1"/>
    <col min="5906" max="5906" width="26.28515625" style="219" customWidth="1"/>
    <col min="5907" max="5907" width="36.140625" style="219" customWidth="1"/>
    <col min="5908" max="5908" width="17.5703125" style="219" customWidth="1"/>
    <col min="5909" max="6144" width="9.140625" style="219"/>
    <col min="6145" max="6145" width="8" style="219" customWidth="1"/>
    <col min="6146" max="6146" width="16.5703125" style="219" customWidth="1"/>
    <col min="6147" max="6147" width="41.28515625" style="219" customWidth="1"/>
    <col min="6148" max="6148" width="20.42578125" style="219" customWidth="1"/>
    <col min="6149" max="6149" width="20.140625" style="219" customWidth="1"/>
    <col min="6150" max="6150" width="26.42578125" style="219" customWidth="1"/>
    <col min="6151" max="6151" width="18.42578125" style="219" customWidth="1"/>
    <col min="6152" max="6152" width="32.7109375" style="219" customWidth="1"/>
    <col min="6153" max="6153" width="33.28515625" style="219" customWidth="1"/>
    <col min="6154" max="6154" width="40.5703125" style="219" customWidth="1"/>
    <col min="6155" max="6155" width="20.7109375" style="219" customWidth="1"/>
    <col min="6156" max="6156" width="27" style="219" customWidth="1"/>
    <col min="6157" max="6157" width="11.85546875" style="219" customWidth="1"/>
    <col min="6158" max="6160" width="26.140625" style="219" customWidth="1"/>
    <col min="6161" max="6161" width="19.140625" style="219" customWidth="1"/>
    <col min="6162" max="6162" width="26.28515625" style="219" customWidth="1"/>
    <col min="6163" max="6163" width="36.140625" style="219" customWidth="1"/>
    <col min="6164" max="6164" width="17.5703125" style="219" customWidth="1"/>
    <col min="6165" max="6400" width="9.140625" style="219"/>
    <col min="6401" max="6401" width="8" style="219" customWidth="1"/>
    <col min="6402" max="6402" width="16.5703125" style="219" customWidth="1"/>
    <col min="6403" max="6403" width="41.28515625" style="219" customWidth="1"/>
    <col min="6404" max="6404" width="20.42578125" style="219" customWidth="1"/>
    <col min="6405" max="6405" width="20.140625" style="219" customWidth="1"/>
    <col min="6406" max="6406" width="26.42578125" style="219" customWidth="1"/>
    <col min="6407" max="6407" width="18.42578125" style="219" customWidth="1"/>
    <col min="6408" max="6408" width="32.7109375" style="219" customWidth="1"/>
    <col min="6409" max="6409" width="33.28515625" style="219" customWidth="1"/>
    <col min="6410" max="6410" width="40.5703125" style="219" customWidth="1"/>
    <col min="6411" max="6411" width="20.7109375" style="219" customWidth="1"/>
    <col min="6412" max="6412" width="27" style="219" customWidth="1"/>
    <col min="6413" max="6413" width="11.85546875" style="219" customWidth="1"/>
    <col min="6414" max="6416" width="26.140625" style="219" customWidth="1"/>
    <col min="6417" max="6417" width="19.140625" style="219" customWidth="1"/>
    <col min="6418" max="6418" width="26.28515625" style="219" customWidth="1"/>
    <col min="6419" max="6419" width="36.140625" style="219" customWidth="1"/>
    <col min="6420" max="6420" width="17.5703125" style="219" customWidth="1"/>
    <col min="6421" max="6656" width="9.140625" style="219"/>
    <col min="6657" max="6657" width="8" style="219" customWidth="1"/>
    <col min="6658" max="6658" width="16.5703125" style="219" customWidth="1"/>
    <col min="6659" max="6659" width="41.28515625" style="219" customWidth="1"/>
    <col min="6660" max="6660" width="20.42578125" style="219" customWidth="1"/>
    <col min="6661" max="6661" width="20.140625" style="219" customWidth="1"/>
    <col min="6662" max="6662" width="26.42578125" style="219" customWidth="1"/>
    <col min="6663" max="6663" width="18.42578125" style="219" customWidth="1"/>
    <col min="6664" max="6664" width="32.7109375" style="219" customWidth="1"/>
    <col min="6665" max="6665" width="33.28515625" style="219" customWidth="1"/>
    <col min="6666" max="6666" width="40.5703125" style="219" customWidth="1"/>
    <col min="6667" max="6667" width="20.7109375" style="219" customWidth="1"/>
    <col min="6668" max="6668" width="27" style="219" customWidth="1"/>
    <col min="6669" max="6669" width="11.85546875" style="219" customWidth="1"/>
    <col min="6670" max="6672" width="26.140625" style="219" customWidth="1"/>
    <col min="6673" max="6673" width="19.140625" style="219" customWidth="1"/>
    <col min="6674" max="6674" width="26.28515625" style="219" customWidth="1"/>
    <col min="6675" max="6675" width="36.140625" style="219" customWidth="1"/>
    <col min="6676" max="6676" width="17.5703125" style="219" customWidth="1"/>
    <col min="6677" max="6912" width="9.140625" style="219"/>
    <col min="6913" max="6913" width="8" style="219" customWidth="1"/>
    <col min="6914" max="6914" width="16.5703125" style="219" customWidth="1"/>
    <col min="6915" max="6915" width="41.28515625" style="219" customWidth="1"/>
    <col min="6916" max="6916" width="20.42578125" style="219" customWidth="1"/>
    <col min="6917" max="6917" width="20.140625" style="219" customWidth="1"/>
    <col min="6918" max="6918" width="26.42578125" style="219" customWidth="1"/>
    <col min="6919" max="6919" width="18.42578125" style="219" customWidth="1"/>
    <col min="6920" max="6920" width="32.7109375" style="219" customWidth="1"/>
    <col min="6921" max="6921" width="33.28515625" style="219" customWidth="1"/>
    <col min="6922" max="6922" width="40.5703125" style="219" customWidth="1"/>
    <col min="6923" max="6923" width="20.7109375" style="219" customWidth="1"/>
    <col min="6924" max="6924" width="27" style="219" customWidth="1"/>
    <col min="6925" max="6925" width="11.85546875" style="219" customWidth="1"/>
    <col min="6926" max="6928" width="26.140625" style="219" customWidth="1"/>
    <col min="6929" max="6929" width="19.140625" style="219" customWidth="1"/>
    <col min="6930" max="6930" width="26.28515625" style="219" customWidth="1"/>
    <col min="6931" max="6931" width="36.140625" style="219" customWidth="1"/>
    <col min="6932" max="6932" width="17.5703125" style="219" customWidth="1"/>
    <col min="6933" max="7168" width="9.140625" style="219"/>
    <col min="7169" max="7169" width="8" style="219" customWidth="1"/>
    <col min="7170" max="7170" width="16.5703125" style="219" customWidth="1"/>
    <col min="7171" max="7171" width="41.28515625" style="219" customWidth="1"/>
    <col min="7172" max="7172" width="20.42578125" style="219" customWidth="1"/>
    <col min="7173" max="7173" width="20.140625" style="219" customWidth="1"/>
    <col min="7174" max="7174" width="26.42578125" style="219" customWidth="1"/>
    <col min="7175" max="7175" width="18.42578125" style="219" customWidth="1"/>
    <col min="7176" max="7176" width="32.7109375" style="219" customWidth="1"/>
    <col min="7177" max="7177" width="33.28515625" style="219" customWidth="1"/>
    <col min="7178" max="7178" width="40.5703125" style="219" customWidth="1"/>
    <col min="7179" max="7179" width="20.7109375" style="219" customWidth="1"/>
    <col min="7180" max="7180" width="27" style="219" customWidth="1"/>
    <col min="7181" max="7181" width="11.85546875" style="219" customWidth="1"/>
    <col min="7182" max="7184" width="26.140625" style="219" customWidth="1"/>
    <col min="7185" max="7185" width="19.140625" style="219" customWidth="1"/>
    <col min="7186" max="7186" width="26.28515625" style="219" customWidth="1"/>
    <col min="7187" max="7187" width="36.140625" style="219" customWidth="1"/>
    <col min="7188" max="7188" width="17.5703125" style="219" customWidth="1"/>
    <col min="7189" max="7424" width="9.140625" style="219"/>
    <col min="7425" max="7425" width="8" style="219" customWidth="1"/>
    <col min="7426" max="7426" width="16.5703125" style="219" customWidth="1"/>
    <col min="7427" max="7427" width="41.28515625" style="219" customWidth="1"/>
    <col min="7428" max="7428" width="20.42578125" style="219" customWidth="1"/>
    <col min="7429" max="7429" width="20.140625" style="219" customWidth="1"/>
    <col min="7430" max="7430" width="26.42578125" style="219" customWidth="1"/>
    <col min="7431" max="7431" width="18.42578125" style="219" customWidth="1"/>
    <col min="7432" max="7432" width="32.7109375" style="219" customWidth="1"/>
    <col min="7433" max="7433" width="33.28515625" style="219" customWidth="1"/>
    <col min="7434" max="7434" width="40.5703125" style="219" customWidth="1"/>
    <col min="7435" max="7435" width="20.7109375" style="219" customWidth="1"/>
    <col min="7436" max="7436" width="27" style="219" customWidth="1"/>
    <col min="7437" max="7437" width="11.85546875" style="219" customWidth="1"/>
    <col min="7438" max="7440" width="26.140625" style="219" customWidth="1"/>
    <col min="7441" max="7441" width="19.140625" style="219" customWidth="1"/>
    <col min="7442" max="7442" width="26.28515625" style="219" customWidth="1"/>
    <col min="7443" max="7443" width="36.140625" style="219" customWidth="1"/>
    <col min="7444" max="7444" width="17.5703125" style="219" customWidth="1"/>
    <col min="7445" max="7680" width="9.140625" style="219"/>
    <col min="7681" max="7681" width="8" style="219" customWidth="1"/>
    <col min="7682" max="7682" width="16.5703125" style="219" customWidth="1"/>
    <col min="7683" max="7683" width="41.28515625" style="219" customWidth="1"/>
    <col min="7684" max="7684" width="20.42578125" style="219" customWidth="1"/>
    <col min="7685" max="7685" width="20.140625" style="219" customWidth="1"/>
    <col min="7686" max="7686" width="26.42578125" style="219" customWidth="1"/>
    <col min="7687" max="7687" width="18.42578125" style="219" customWidth="1"/>
    <col min="7688" max="7688" width="32.7109375" style="219" customWidth="1"/>
    <col min="7689" max="7689" width="33.28515625" style="219" customWidth="1"/>
    <col min="7690" max="7690" width="40.5703125" style="219" customWidth="1"/>
    <col min="7691" max="7691" width="20.7109375" style="219" customWidth="1"/>
    <col min="7692" max="7692" width="27" style="219" customWidth="1"/>
    <col min="7693" max="7693" width="11.85546875" style="219" customWidth="1"/>
    <col min="7694" max="7696" width="26.140625" style="219" customWidth="1"/>
    <col min="7697" max="7697" width="19.140625" style="219" customWidth="1"/>
    <col min="7698" max="7698" width="26.28515625" style="219" customWidth="1"/>
    <col min="7699" max="7699" width="36.140625" style="219" customWidth="1"/>
    <col min="7700" max="7700" width="17.5703125" style="219" customWidth="1"/>
    <col min="7701" max="7936" width="9.140625" style="219"/>
    <col min="7937" max="7937" width="8" style="219" customWidth="1"/>
    <col min="7938" max="7938" width="16.5703125" style="219" customWidth="1"/>
    <col min="7939" max="7939" width="41.28515625" style="219" customWidth="1"/>
    <col min="7940" max="7940" width="20.42578125" style="219" customWidth="1"/>
    <col min="7941" max="7941" width="20.140625" style="219" customWidth="1"/>
    <col min="7942" max="7942" width="26.42578125" style="219" customWidth="1"/>
    <col min="7943" max="7943" width="18.42578125" style="219" customWidth="1"/>
    <col min="7944" max="7944" width="32.7109375" style="219" customWidth="1"/>
    <col min="7945" max="7945" width="33.28515625" style="219" customWidth="1"/>
    <col min="7946" max="7946" width="40.5703125" style="219" customWidth="1"/>
    <col min="7947" max="7947" width="20.7109375" style="219" customWidth="1"/>
    <col min="7948" max="7948" width="27" style="219" customWidth="1"/>
    <col min="7949" max="7949" width="11.85546875" style="219" customWidth="1"/>
    <col min="7950" max="7952" width="26.140625" style="219" customWidth="1"/>
    <col min="7953" max="7953" width="19.140625" style="219" customWidth="1"/>
    <col min="7954" max="7954" width="26.28515625" style="219" customWidth="1"/>
    <col min="7955" max="7955" width="36.140625" style="219" customWidth="1"/>
    <col min="7956" max="7956" width="17.5703125" style="219" customWidth="1"/>
    <col min="7957" max="8192" width="9.140625" style="219"/>
    <col min="8193" max="8193" width="8" style="219" customWidth="1"/>
    <col min="8194" max="8194" width="16.5703125" style="219" customWidth="1"/>
    <col min="8195" max="8195" width="41.28515625" style="219" customWidth="1"/>
    <col min="8196" max="8196" width="20.42578125" style="219" customWidth="1"/>
    <col min="8197" max="8197" width="20.140625" style="219" customWidth="1"/>
    <col min="8198" max="8198" width="26.42578125" style="219" customWidth="1"/>
    <col min="8199" max="8199" width="18.42578125" style="219" customWidth="1"/>
    <col min="8200" max="8200" width="32.7109375" style="219" customWidth="1"/>
    <col min="8201" max="8201" width="33.28515625" style="219" customWidth="1"/>
    <col min="8202" max="8202" width="40.5703125" style="219" customWidth="1"/>
    <col min="8203" max="8203" width="20.7109375" style="219" customWidth="1"/>
    <col min="8204" max="8204" width="27" style="219" customWidth="1"/>
    <col min="8205" max="8205" width="11.85546875" style="219" customWidth="1"/>
    <col min="8206" max="8208" width="26.140625" style="219" customWidth="1"/>
    <col min="8209" max="8209" width="19.140625" style="219" customWidth="1"/>
    <col min="8210" max="8210" width="26.28515625" style="219" customWidth="1"/>
    <col min="8211" max="8211" width="36.140625" style="219" customWidth="1"/>
    <col min="8212" max="8212" width="17.5703125" style="219" customWidth="1"/>
    <col min="8213" max="8448" width="9.140625" style="219"/>
    <col min="8449" max="8449" width="8" style="219" customWidth="1"/>
    <col min="8450" max="8450" width="16.5703125" style="219" customWidth="1"/>
    <col min="8451" max="8451" width="41.28515625" style="219" customWidth="1"/>
    <col min="8452" max="8452" width="20.42578125" style="219" customWidth="1"/>
    <col min="8453" max="8453" width="20.140625" style="219" customWidth="1"/>
    <col min="8454" max="8454" width="26.42578125" style="219" customWidth="1"/>
    <col min="8455" max="8455" width="18.42578125" style="219" customWidth="1"/>
    <col min="8456" max="8456" width="32.7109375" style="219" customWidth="1"/>
    <col min="8457" max="8457" width="33.28515625" style="219" customWidth="1"/>
    <col min="8458" max="8458" width="40.5703125" style="219" customWidth="1"/>
    <col min="8459" max="8459" width="20.7109375" style="219" customWidth="1"/>
    <col min="8460" max="8460" width="27" style="219" customWidth="1"/>
    <col min="8461" max="8461" width="11.85546875" style="219" customWidth="1"/>
    <col min="8462" max="8464" width="26.140625" style="219" customWidth="1"/>
    <col min="8465" max="8465" width="19.140625" style="219" customWidth="1"/>
    <col min="8466" max="8466" width="26.28515625" style="219" customWidth="1"/>
    <col min="8467" max="8467" width="36.140625" style="219" customWidth="1"/>
    <col min="8468" max="8468" width="17.5703125" style="219" customWidth="1"/>
    <col min="8469" max="8704" width="9.140625" style="219"/>
    <col min="8705" max="8705" width="8" style="219" customWidth="1"/>
    <col min="8706" max="8706" width="16.5703125" style="219" customWidth="1"/>
    <col min="8707" max="8707" width="41.28515625" style="219" customWidth="1"/>
    <col min="8708" max="8708" width="20.42578125" style="219" customWidth="1"/>
    <col min="8709" max="8709" width="20.140625" style="219" customWidth="1"/>
    <col min="8710" max="8710" width="26.42578125" style="219" customWidth="1"/>
    <col min="8711" max="8711" width="18.42578125" style="219" customWidth="1"/>
    <col min="8712" max="8712" width="32.7109375" style="219" customWidth="1"/>
    <col min="8713" max="8713" width="33.28515625" style="219" customWidth="1"/>
    <col min="8714" max="8714" width="40.5703125" style="219" customWidth="1"/>
    <col min="8715" max="8715" width="20.7109375" style="219" customWidth="1"/>
    <col min="8716" max="8716" width="27" style="219" customWidth="1"/>
    <col min="8717" max="8717" width="11.85546875" style="219" customWidth="1"/>
    <col min="8718" max="8720" width="26.140625" style="219" customWidth="1"/>
    <col min="8721" max="8721" width="19.140625" style="219" customWidth="1"/>
    <col min="8722" max="8722" width="26.28515625" style="219" customWidth="1"/>
    <col min="8723" max="8723" width="36.140625" style="219" customWidth="1"/>
    <col min="8724" max="8724" width="17.5703125" style="219" customWidth="1"/>
    <col min="8725" max="8960" width="9.140625" style="219"/>
    <col min="8961" max="8961" width="8" style="219" customWidth="1"/>
    <col min="8962" max="8962" width="16.5703125" style="219" customWidth="1"/>
    <col min="8963" max="8963" width="41.28515625" style="219" customWidth="1"/>
    <col min="8964" max="8964" width="20.42578125" style="219" customWidth="1"/>
    <col min="8965" max="8965" width="20.140625" style="219" customWidth="1"/>
    <col min="8966" max="8966" width="26.42578125" style="219" customWidth="1"/>
    <col min="8967" max="8967" width="18.42578125" style="219" customWidth="1"/>
    <col min="8968" max="8968" width="32.7109375" style="219" customWidth="1"/>
    <col min="8969" max="8969" width="33.28515625" style="219" customWidth="1"/>
    <col min="8970" max="8970" width="40.5703125" style="219" customWidth="1"/>
    <col min="8971" max="8971" width="20.7109375" style="219" customWidth="1"/>
    <col min="8972" max="8972" width="27" style="219" customWidth="1"/>
    <col min="8973" max="8973" width="11.85546875" style="219" customWidth="1"/>
    <col min="8974" max="8976" width="26.140625" style="219" customWidth="1"/>
    <col min="8977" max="8977" width="19.140625" style="219" customWidth="1"/>
    <col min="8978" max="8978" width="26.28515625" style="219" customWidth="1"/>
    <col min="8979" max="8979" width="36.140625" style="219" customWidth="1"/>
    <col min="8980" max="8980" width="17.5703125" style="219" customWidth="1"/>
    <col min="8981" max="9216" width="9.140625" style="219"/>
    <col min="9217" max="9217" width="8" style="219" customWidth="1"/>
    <col min="9218" max="9218" width="16.5703125" style="219" customWidth="1"/>
    <col min="9219" max="9219" width="41.28515625" style="219" customWidth="1"/>
    <col min="9220" max="9220" width="20.42578125" style="219" customWidth="1"/>
    <col min="9221" max="9221" width="20.140625" style="219" customWidth="1"/>
    <col min="9222" max="9222" width="26.42578125" style="219" customWidth="1"/>
    <col min="9223" max="9223" width="18.42578125" style="219" customWidth="1"/>
    <col min="9224" max="9224" width="32.7109375" style="219" customWidth="1"/>
    <col min="9225" max="9225" width="33.28515625" style="219" customWidth="1"/>
    <col min="9226" max="9226" width="40.5703125" style="219" customWidth="1"/>
    <col min="9227" max="9227" width="20.7109375" style="219" customWidth="1"/>
    <col min="9228" max="9228" width="27" style="219" customWidth="1"/>
    <col min="9229" max="9229" width="11.85546875" style="219" customWidth="1"/>
    <col min="9230" max="9232" width="26.140625" style="219" customWidth="1"/>
    <col min="9233" max="9233" width="19.140625" style="219" customWidth="1"/>
    <col min="9234" max="9234" width="26.28515625" style="219" customWidth="1"/>
    <col min="9235" max="9235" width="36.140625" style="219" customWidth="1"/>
    <col min="9236" max="9236" width="17.5703125" style="219" customWidth="1"/>
    <col min="9237" max="9472" width="9.140625" style="219"/>
    <col min="9473" max="9473" width="8" style="219" customWidth="1"/>
    <col min="9474" max="9474" width="16.5703125" style="219" customWidth="1"/>
    <col min="9475" max="9475" width="41.28515625" style="219" customWidth="1"/>
    <col min="9476" max="9476" width="20.42578125" style="219" customWidth="1"/>
    <col min="9477" max="9477" width="20.140625" style="219" customWidth="1"/>
    <col min="9478" max="9478" width="26.42578125" style="219" customWidth="1"/>
    <col min="9479" max="9479" width="18.42578125" style="219" customWidth="1"/>
    <col min="9480" max="9480" width="32.7109375" style="219" customWidth="1"/>
    <col min="9481" max="9481" width="33.28515625" style="219" customWidth="1"/>
    <col min="9482" max="9482" width="40.5703125" style="219" customWidth="1"/>
    <col min="9483" max="9483" width="20.7109375" style="219" customWidth="1"/>
    <col min="9484" max="9484" width="27" style="219" customWidth="1"/>
    <col min="9485" max="9485" width="11.85546875" style="219" customWidth="1"/>
    <col min="9486" max="9488" width="26.140625" style="219" customWidth="1"/>
    <col min="9489" max="9489" width="19.140625" style="219" customWidth="1"/>
    <col min="9490" max="9490" width="26.28515625" style="219" customWidth="1"/>
    <col min="9491" max="9491" width="36.140625" style="219" customWidth="1"/>
    <col min="9492" max="9492" width="17.5703125" style="219" customWidth="1"/>
    <col min="9493" max="9728" width="9.140625" style="219"/>
    <col min="9729" max="9729" width="8" style="219" customWidth="1"/>
    <col min="9730" max="9730" width="16.5703125" style="219" customWidth="1"/>
    <col min="9731" max="9731" width="41.28515625" style="219" customWidth="1"/>
    <col min="9732" max="9732" width="20.42578125" style="219" customWidth="1"/>
    <col min="9733" max="9733" width="20.140625" style="219" customWidth="1"/>
    <col min="9734" max="9734" width="26.42578125" style="219" customWidth="1"/>
    <col min="9735" max="9735" width="18.42578125" style="219" customWidth="1"/>
    <col min="9736" max="9736" width="32.7109375" style="219" customWidth="1"/>
    <col min="9737" max="9737" width="33.28515625" style="219" customWidth="1"/>
    <col min="9738" max="9738" width="40.5703125" style="219" customWidth="1"/>
    <col min="9739" max="9739" width="20.7109375" style="219" customWidth="1"/>
    <col min="9740" max="9740" width="27" style="219" customWidth="1"/>
    <col min="9741" max="9741" width="11.85546875" style="219" customWidth="1"/>
    <col min="9742" max="9744" width="26.140625" style="219" customWidth="1"/>
    <col min="9745" max="9745" width="19.140625" style="219" customWidth="1"/>
    <col min="9746" max="9746" width="26.28515625" style="219" customWidth="1"/>
    <col min="9747" max="9747" width="36.140625" style="219" customWidth="1"/>
    <col min="9748" max="9748" width="17.5703125" style="219" customWidth="1"/>
    <col min="9749" max="9984" width="9.140625" style="219"/>
    <col min="9985" max="9985" width="8" style="219" customWidth="1"/>
    <col min="9986" max="9986" width="16.5703125" style="219" customWidth="1"/>
    <col min="9987" max="9987" width="41.28515625" style="219" customWidth="1"/>
    <col min="9988" max="9988" width="20.42578125" style="219" customWidth="1"/>
    <col min="9989" max="9989" width="20.140625" style="219" customWidth="1"/>
    <col min="9990" max="9990" width="26.42578125" style="219" customWidth="1"/>
    <col min="9991" max="9991" width="18.42578125" style="219" customWidth="1"/>
    <col min="9992" max="9992" width="32.7109375" style="219" customWidth="1"/>
    <col min="9993" max="9993" width="33.28515625" style="219" customWidth="1"/>
    <col min="9994" max="9994" width="40.5703125" style="219" customWidth="1"/>
    <col min="9995" max="9995" width="20.7109375" style="219" customWidth="1"/>
    <col min="9996" max="9996" width="27" style="219" customWidth="1"/>
    <col min="9997" max="9997" width="11.85546875" style="219" customWidth="1"/>
    <col min="9998" max="10000" width="26.140625" style="219" customWidth="1"/>
    <col min="10001" max="10001" width="19.140625" style="219" customWidth="1"/>
    <col min="10002" max="10002" width="26.28515625" style="219" customWidth="1"/>
    <col min="10003" max="10003" width="36.140625" style="219" customWidth="1"/>
    <col min="10004" max="10004" width="17.5703125" style="219" customWidth="1"/>
    <col min="10005" max="10240" width="9.140625" style="219"/>
    <col min="10241" max="10241" width="8" style="219" customWidth="1"/>
    <col min="10242" max="10242" width="16.5703125" style="219" customWidth="1"/>
    <col min="10243" max="10243" width="41.28515625" style="219" customWidth="1"/>
    <col min="10244" max="10244" width="20.42578125" style="219" customWidth="1"/>
    <col min="10245" max="10245" width="20.140625" style="219" customWidth="1"/>
    <col min="10246" max="10246" width="26.42578125" style="219" customWidth="1"/>
    <col min="10247" max="10247" width="18.42578125" style="219" customWidth="1"/>
    <col min="10248" max="10248" width="32.7109375" style="219" customWidth="1"/>
    <col min="10249" max="10249" width="33.28515625" style="219" customWidth="1"/>
    <col min="10250" max="10250" width="40.5703125" style="219" customWidth="1"/>
    <col min="10251" max="10251" width="20.7109375" style="219" customWidth="1"/>
    <col min="10252" max="10252" width="27" style="219" customWidth="1"/>
    <col min="10253" max="10253" width="11.85546875" style="219" customWidth="1"/>
    <col min="10254" max="10256" width="26.140625" style="219" customWidth="1"/>
    <col min="10257" max="10257" width="19.140625" style="219" customWidth="1"/>
    <col min="10258" max="10258" width="26.28515625" style="219" customWidth="1"/>
    <col min="10259" max="10259" width="36.140625" style="219" customWidth="1"/>
    <col min="10260" max="10260" width="17.5703125" style="219" customWidth="1"/>
    <col min="10261" max="10496" width="9.140625" style="219"/>
    <col min="10497" max="10497" width="8" style="219" customWidth="1"/>
    <col min="10498" max="10498" width="16.5703125" style="219" customWidth="1"/>
    <col min="10499" max="10499" width="41.28515625" style="219" customWidth="1"/>
    <col min="10500" max="10500" width="20.42578125" style="219" customWidth="1"/>
    <col min="10501" max="10501" width="20.140625" style="219" customWidth="1"/>
    <col min="10502" max="10502" width="26.42578125" style="219" customWidth="1"/>
    <col min="10503" max="10503" width="18.42578125" style="219" customWidth="1"/>
    <col min="10504" max="10504" width="32.7109375" style="219" customWidth="1"/>
    <col min="10505" max="10505" width="33.28515625" style="219" customWidth="1"/>
    <col min="10506" max="10506" width="40.5703125" style="219" customWidth="1"/>
    <col min="10507" max="10507" width="20.7109375" style="219" customWidth="1"/>
    <col min="10508" max="10508" width="27" style="219" customWidth="1"/>
    <col min="10509" max="10509" width="11.85546875" style="219" customWidth="1"/>
    <col min="10510" max="10512" width="26.140625" style="219" customWidth="1"/>
    <col min="10513" max="10513" width="19.140625" style="219" customWidth="1"/>
    <col min="10514" max="10514" width="26.28515625" style="219" customWidth="1"/>
    <col min="10515" max="10515" width="36.140625" style="219" customWidth="1"/>
    <col min="10516" max="10516" width="17.5703125" style="219" customWidth="1"/>
    <col min="10517" max="10752" width="9.140625" style="219"/>
    <col min="10753" max="10753" width="8" style="219" customWidth="1"/>
    <col min="10754" max="10754" width="16.5703125" style="219" customWidth="1"/>
    <col min="10755" max="10755" width="41.28515625" style="219" customWidth="1"/>
    <col min="10756" max="10756" width="20.42578125" style="219" customWidth="1"/>
    <col min="10757" max="10757" width="20.140625" style="219" customWidth="1"/>
    <col min="10758" max="10758" width="26.42578125" style="219" customWidth="1"/>
    <col min="10759" max="10759" width="18.42578125" style="219" customWidth="1"/>
    <col min="10760" max="10760" width="32.7109375" style="219" customWidth="1"/>
    <col min="10761" max="10761" width="33.28515625" style="219" customWidth="1"/>
    <col min="10762" max="10762" width="40.5703125" style="219" customWidth="1"/>
    <col min="10763" max="10763" width="20.7109375" style="219" customWidth="1"/>
    <col min="10764" max="10764" width="27" style="219" customWidth="1"/>
    <col min="10765" max="10765" width="11.85546875" style="219" customWidth="1"/>
    <col min="10766" max="10768" width="26.140625" style="219" customWidth="1"/>
    <col min="10769" max="10769" width="19.140625" style="219" customWidth="1"/>
    <col min="10770" max="10770" width="26.28515625" style="219" customWidth="1"/>
    <col min="10771" max="10771" width="36.140625" style="219" customWidth="1"/>
    <col min="10772" max="10772" width="17.5703125" style="219" customWidth="1"/>
    <col min="10773" max="11008" width="9.140625" style="219"/>
    <col min="11009" max="11009" width="8" style="219" customWidth="1"/>
    <col min="11010" max="11010" width="16.5703125" style="219" customWidth="1"/>
    <col min="11011" max="11011" width="41.28515625" style="219" customWidth="1"/>
    <col min="11012" max="11012" width="20.42578125" style="219" customWidth="1"/>
    <col min="11013" max="11013" width="20.140625" style="219" customWidth="1"/>
    <col min="11014" max="11014" width="26.42578125" style="219" customWidth="1"/>
    <col min="11015" max="11015" width="18.42578125" style="219" customWidth="1"/>
    <col min="11016" max="11016" width="32.7109375" style="219" customWidth="1"/>
    <col min="11017" max="11017" width="33.28515625" style="219" customWidth="1"/>
    <col min="11018" max="11018" width="40.5703125" style="219" customWidth="1"/>
    <col min="11019" max="11019" width="20.7109375" style="219" customWidth="1"/>
    <col min="11020" max="11020" width="27" style="219" customWidth="1"/>
    <col min="11021" max="11021" width="11.85546875" style="219" customWidth="1"/>
    <col min="11022" max="11024" width="26.140625" style="219" customWidth="1"/>
    <col min="11025" max="11025" width="19.140625" style="219" customWidth="1"/>
    <col min="11026" max="11026" width="26.28515625" style="219" customWidth="1"/>
    <col min="11027" max="11027" width="36.140625" style="219" customWidth="1"/>
    <col min="11028" max="11028" width="17.5703125" style="219" customWidth="1"/>
    <col min="11029" max="11264" width="9.140625" style="219"/>
    <col min="11265" max="11265" width="8" style="219" customWidth="1"/>
    <col min="11266" max="11266" width="16.5703125" style="219" customWidth="1"/>
    <col min="11267" max="11267" width="41.28515625" style="219" customWidth="1"/>
    <col min="11268" max="11268" width="20.42578125" style="219" customWidth="1"/>
    <col min="11269" max="11269" width="20.140625" style="219" customWidth="1"/>
    <col min="11270" max="11270" width="26.42578125" style="219" customWidth="1"/>
    <col min="11271" max="11271" width="18.42578125" style="219" customWidth="1"/>
    <col min="11272" max="11272" width="32.7109375" style="219" customWidth="1"/>
    <col min="11273" max="11273" width="33.28515625" style="219" customWidth="1"/>
    <col min="11274" max="11274" width="40.5703125" style="219" customWidth="1"/>
    <col min="11275" max="11275" width="20.7109375" style="219" customWidth="1"/>
    <col min="11276" max="11276" width="27" style="219" customWidth="1"/>
    <col min="11277" max="11277" width="11.85546875" style="219" customWidth="1"/>
    <col min="11278" max="11280" width="26.140625" style="219" customWidth="1"/>
    <col min="11281" max="11281" width="19.140625" style="219" customWidth="1"/>
    <col min="11282" max="11282" width="26.28515625" style="219" customWidth="1"/>
    <col min="11283" max="11283" width="36.140625" style="219" customWidth="1"/>
    <col min="11284" max="11284" width="17.5703125" style="219" customWidth="1"/>
    <col min="11285" max="11520" width="9.140625" style="219"/>
    <col min="11521" max="11521" width="8" style="219" customWidth="1"/>
    <col min="11522" max="11522" width="16.5703125" style="219" customWidth="1"/>
    <col min="11523" max="11523" width="41.28515625" style="219" customWidth="1"/>
    <col min="11524" max="11524" width="20.42578125" style="219" customWidth="1"/>
    <col min="11525" max="11525" width="20.140625" style="219" customWidth="1"/>
    <col min="11526" max="11526" width="26.42578125" style="219" customWidth="1"/>
    <col min="11527" max="11527" width="18.42578125" style="219" customWidth="1"/>
    <col min="11528" max="11528" width="32.7109375" style="219" customWidth="1"/>
    <col min="11529" max="11529" width="33.28515625" style="219" customWidth="1"/>
    <col min="11530" max="11530" width="40.5703125" style="219" customWidth="1"/>
    <col min="11531" max="11531" width="20.7109375" style="219" customWidth="1"/>
    <col min="11532" max="11532" width="27" style="219" customWidth="1"/>
    <col min="11533" max="11533" width="11.85546875" style="219" customWidth="1"/>
    <col min="11534" max="11536" width="26.140625" style="219" customWidth="1"/>
    <col min="11537" max="11537" width="19.140625" style="219" customWidth="1"/>
    <col min="11538" max="11538" width="26.28515625" style="219" customWidth="1"/>
    <col min="11539" max="11539" width="36.140625" style="219" customWidth="1"/>
    <col min="11540" max="11540" width="17.5703125" style="219" customWidth="1"/>
    <col min="11541" max="11776" width="9.140625" style="219"/>
    <col min="11777" max="11777" width="8" style="219" customWidth="1"/>
    <col min="11778" max="11778" width="16.5703125" style="219" customWidth="1"/>
    <col min="11779" max="11779" width="41.28515625" style="219" customWidth="1"/>
    <col min="11780" max="11780" width="20.42578125" style="219" customWidth="1"/>
    <col min="11781" max="11781" width="20.140625" style="219" customWidth="1"/>
    <col min="11782" max="11782" width="26.42578125" style="219" customWidth="1"/>
    <col min="11783" max="11783" width="18.42578125" style="219" customWidth="1"/>
    <col min="11784" max="11784" width="32.7109375" style="219" customWidth="1"/>
    <col min="11785" max="11785" width="33.28515625" style="219" customWidth="1"/>
    <col min="11786" max="11786" width="40.5703125" style="219" customWidth="1"/>
    <col min="11787" max="11787" width="20.7109375" style="219" customWidth="1"/>
    <col min="11788" max="11788" width="27" style="219" customWidth="1"/>
    <col min="11789" max="11789" width="11.85546875" style="219" customWidth="1"/>
    <col min="11790" max="11792" width="26.140625" style="219" customWidth="1"/>
    <col min="11793" max="11793" width="19.140625" style="219" customWidth="1"/>
    <col min="11794" max="11794" width="26.28515625" style="219" customWidth="1"/>
    <col min="11795" max="11795" width="36.140625" style="219" customWidth="1"/>
    <col min="11796" max="11796" width="17.5703125" style="219" customWidth="1"/>
    <col min="11797" max="12032" width="9.140625" style="219"/>
    <col min="12033" max="12033" width="8" style="219" customWidth="1"/>
    <col min="12034" max="12034" width="16.5703125" style="219" customWidth="1"/>
    <col min="12035" max="12035" width="41.28515625" style="219" customWidth="1"/>
    <col min="12036" max="12036" width="20.42578125" style="219" customWidth="1"/>
    <col min="12037" max="12037" width="20.140625" style="219" customWidth="1"/>
    <col min="12038" max="12038" width="26.42578125" style="219" customWidth="1"/>
    <col min="12039" max="12039" width="18.42578125" style="219" customWidth="1"/>
    <col min="12040" max="12040" width="32.7109375" style="219" customWidth="1"/>
    <col min="12041" max="12041" width="33.28515625" style="219" customWidth="1"/>
    <col min="12042" max="12042" width="40.5703125" style="219" customWidth="1"/>
    <col min="12043" max="12043" width="20.7109375" style="219" customWidth="1"/>
    <col min="12044" max="12044" width="27" style="219" customWidth="1"/>
    <col min="12045" max="12045" width="11.85546875" style="219" customWidth="1"/>
    <col min="12046" max="12048" width="26.140625" style="219" customWidth="1"/>
    <col min="12049" max="12049" width="19.140625" style="219" customWidth="1"/>
    <col min="12050" max="12050" width="26.28515625" style="219" customWidth="1"/>
    <col min="12051" max="12051" width="36.140625" style="219" customWidth="1"/>
    <col min="12052" max="12052" width="17.5703125" style="219" customWidth="1"/>
    <col min="12053" max="12288" width="9.140625" style="219"/>
    <col min="12289" max="12289" width="8" style="219" customWidth="1"/>
    <col min="12290" max="12290" width="16.5703125" style="219" customWidth="1"/>
    <col min="12291" max="12291" width="41.28515625" style="219" customWidth="1"/>
    <col min="12292" max="12292" width="20.42578125" style="219" customWidth="1"/>
    <col min="12293" max="12293" width="20.140625" style="219" customWidth="1"/>
    <col min="12294" max="12294" width="26.42578125" style="219" customWidth="1"/>
    <col min="12295" max="12295" width="18.42578125" style="219" customWidth="1"/>
    <col min="12296" max="12296" width="32.7109375" style="219" customWidth="1"/>
    <col min="12297" max="12297" width="33.28515625" style="219" customWidth="1"/>
    <col min="12298" max="12298" width="40.5703125" style="219" customWidth="1"/>
    <col min="12299" max="12299" width="20.7109375" style="219" customWidth="1"/>
    <col min="12300" max="12300" width="27" style="219" customWidth="1"/>
    <col min="12301" max="12301" width="11.85546875" style="219" customWidth="1"/>
    <col min="12302" max="12304" width="26.140625" style="219" customWidth="1"/>
    <col min="12305" max="12305" width="19.140625" style="219" customWidth="1"/>
    <col min="12306" max="12306" width="26.28515625" style="219" customWidth="1"/>
    <col min="12307" max="12307" width="36.140625" style="219" customWidth="1"/>
    <col min="12308" max="12308" width="17.5703125" style="219" customWidth="1"/>
    <col min="12309" max="12544" width="9.140625" style="219"/>
    <col min="12545" max="12545" width="8" style="219" customWidth="1"/>
    <col min="12546" max="12546" width="16.5703125" style="219" customWidth="1"/>
    <col min="12547" max="12547" width="41.28515625" style="219" customWidth="1"/>
    <col min="12548" max="12548" width="20.42578125" style="219" customWidth="1"/>
    <col min="12549" max="12549" width="20.140625" style="219" customWidth="1"/>
    <col min="12550" max="12550" width="26.42578125" style="219" customWidth="1"/>
    <col min="12551" max="12551" width="18.42578125" style="219" customWidth="1"/>
    <col min="12552" max="12552" width="32.7109375" style="219" customWidth="1"/>
    <col min="12553" max="12553" width="33.28515625" style="219" customWidth="1"/>
    <col min="12554" max="12554" width="40.5703125" style="219" customWidth="1"/>
    <col min="12555" max="12555" width="20.7109375" style="219" customWidth="1"/>
    <col min="12556" max="12556" width="27" style="219" customWidth="1"/>
    <col min="12557" max="12557" width="11.85546875" style="219" customWidth="1"/>
    <col min="12558" max="12560" width="26.140625" style="219" customWidth="1"/>
    <col min="12561" max="12561" width="19.140625" style="219" customWidth="1"/>
    <col min="12562" max="12562" width="26.28515625" style="219" customWidth="1"/>
    <col min="12563" max="12563" width="36.140625" style="219" customWidth="1"/>
    <col min="12564" max="12564" width="17.5703125" style="219" customWidth="1"/>
    <col min="12565" max="12800" width="9.140625" style="219"/>
    <col min="12801" max="12801" width="8" style="219" customWidth="1"/>
    <col min="12802" max="12802" width="16.5703125" style="219" customWidth="1"/>
    <col min="12803" max="12803" width="41.28515625" style="219" customWidth="1"/>
    <col min="12804" max="12804" width="20.42578125" style="219" customWidth="1"/>
    <col min="12805" max="12805" width="20.140625" style="219" customWidth="1"/>
    <col min="12806" max="12806" width="26.42578125" style="219" customWidth="1"/>
    <col min="12807" max="12807" width="18.42578125" style="219" customWidth="1"/>
    <col min="12808" max="12808" width="32.7109375" style="219" customWidth="1"/>
    <col min="12809" max="12809" width="33.28515625" style="219" customWidth="1"/>
    <col min="12810" max="12810" width="40.5703125" style="219" customWidth="1"/>
    <col min="12811" max="12811" width="20.7109375" style="219" customWidth="1"/>
    <col min="12812" max="12812" width="27" style="219" customWidth="1"/>
    <col min="12813" max="12813" width="11.85546875" style="219" customWidth="1"/>
    <col min="12814" max="12816" width="26.140625" style="219" customWidth="1"/>
    <col min="12817" max="12817" width="19.140625" style="219" customWidth="1"/>
    <col min="12818" max="12818" width="26.28515625" style="219" customWidth="1"/>
    <col min="12819" max="12819" width="36.140625" style="219" customWidth="1"/>
    <col min="12820" max="12820" width="17.5703125" style="219" customWidth="1"/>
    <col min="12821" max="13056" width="9.140625" style="219"/>
    <col min="13057" max="13057" width="8" style="219" customWidth="1"/>
    <col min="13058" max="13058" width="16.5703125" style="219" customWidth="1"/>
    <col min="13059" max="13059" width="41.28515625" style="219" customWidth="1"/>
    <col min="13060" max="13060" width="20.42578125" style="219" customWidth="1"/>
    <col min="13061" max="13061" width="20.140625" style="219" customWidth="1"/>
    <col min="13062" max="13062" width="26.42578125" style="219" customWidth="1"/>
    <col min="13063" max="13063" width="18.42578125" style="219" customWidth="1"/>
    <col min="13064" max="13064" width="32.7109375" style="219" customWidth="1"/>
    <col min="13065" max="13065" width="33.28515625" style="219" customWidth="1"/>
    <col min="13066" max="13066" width="40.5703125" style="219" customWidth="1"/>
    <col min="13067" max="13067" width="20.7109375" style="219" customWidth="1"/>
    <col min="13068" max="13068" width="27" style="219" customWidth="1"/>
    <col min="13069" max="13069" width="11.85546875" style="219" customWidth="1"/>
    <col min="13070" max="13072" width="26.140625" style="219" customWidth="1"/>
    <col min="13073" max="13073" width="19.140625" style="219" customWidth="1"/>
    <col min="13074" max="13074" width="26.28515625" style="219" customWidth="1"/>
    <col min="13075" max="13075" width="36.140625" style="219" customWidth="1"/>
    <col min="13076" max="13076" width="17.5703125" style="219" customWidth="1"/>
    <col min="13077" max="13312" width="9.140625" style="219"/>
    <col min="13313" max="13313" width="8" style="219" customWidth="1"/>
    <col min="13314" max="13314" width="16.5703125" style="219" customWidth="1"/>
    <col min="13315" max="13315" width="41.28515625" style="219" customWidth="1"/>
    <col min="13316" max="13316" width="20.42578125" style="219" customWidth="1"/>
    <col min="13317" max="13317" width="20.140625" style="219" customWidth="1"/>
    <col min="13318" max="13318" width="26.42578125" style="219" customWidth="1"/>
    <col min="13319" max="13319" width="18.42578125" style="219" customWidth="1"/>
    <col min="13320" max="13320" width="32.7109375" style="219" customWidth="1"/>
    <col min="13321" max="13321" width="33.28515625" style="219" customWidth="1"/>
    <col min="13322" max="13322" width="40.5703125" style="219" customWidth="1"/>
    <col min="13323" max="13323" width="20.7109375" style="219" customWidth="1"/>
    <col min="13324" max="13324" width="27" style="219" customWidth="1"/>
    <col min="13325" max="13325" width="11.85546875" style="219" customWidth="1"/>
    <col min="13326" max="13328" width="26.140625" style="219" customWidth="1"/>
    <col min="13329" max="13329" width="19.140625" style="219" customWidth="1"/>
    <col min="13330" max="13330" width="26.28515625" style="219" customWidth="1"/>
    <col min="13331" max="13331" width="36.140625" style="219" customWidth="1"/>
    <col min="13332" max="13332" width="17.5703125" style="219" customWidth="1"/>
    <col min="13333" max="13568" width="9.140625" style="219"/>
    <col min="13569" max="13569" width="8" style="219" customWidth="1"/>
    <col min="13570" max="13570" width="16.5703125" style="219" customWidth="1"/>
    <col min="13571" max="13571" width="41.28515625" style="219" customWidth="1"/>
    <col min="13572" max="13572" width="20.42578125" style="219" customWidth="1"/>
    <col min="13573" max="13573" width="20.140625" style="219" customWidth="1"/>
    <col min="13574" max="13574" width="26.42578125" style="219" customWidth="1"/>
    <col min="13575" max="13575" width="18.42578125" style="219" customWidth="1"/>
    <col min="13576" max="13576" width="32.7109375" style="219" customWidth="1"/>
    <col min="13577" max="13577" width="33.28515625" style="219" customWidth="1"/>
    <col min="13578" max="13578" width="40.5703125" style="219" customWidth="1"/>
    <col min="13579" max="13579" width="20.7109375" style="219" customWidth="1"/>
    <col min="13580" max="13580" width="27" style="219" customWidth="1"/>
    <col min="13581" max="13581" width="11.85546875" style="219" customWidth="1"/>
    <col min="13582" max="13584" width="26.140625" style="219" customWidth="1"/>
    <col min="13585" max="13585" width="19.140625" style="219" customWidth="1"/>
    <col min="13586" max="13586" width="26.28515625" style="219" customWidth="1"/>
    <col min="13587" max="13587" width="36.140625" style="219" customWidth="1"/>
    <col min="13588" max="13588" width="17.5703125" style="219" customWidth="1"/>
    <col min="13589" max="13824" width="9.140625" style="219"/>
    <col min="13825" max="13825" width="8" style="219" customWidth="1"/>
    <col min="13826" max="13826" width="16.5703125" style="219" customWidth="1"/>
    <col min="13827" max="13827" width="41.28515625" style="219" customWidth="1"/>
    <col min="13828" max="13828" width="20.42578125" style="219" customWidth="1"/>
    <col min="13829" max="13829" width="20.140625" style="219" customWidth="1"/>
    <col min="13830" max="13830" width="26.42578125" style="219" customWidth="1"/>
    <col min="13831" max="13831" width="18.42578125" style="219" customWidth="1"/>
    <col min="13832" max="13832" width="32.7109375" style="219" customWidth="1"/>
    <col min="13833" max="13833" width="33.28515625" style="219" customWidth="1"/>
    <col min="13834" max="13834" width="40.5703125" style="219" customWidth="1"/>
    <col min="13835" max="13835" width="20.7109375" style="219" customWidth="1"/>
    <col min="13836" max="13836" width="27" style="219" customWidth="1"/>
    <col min="13837" max="13837" width="11.85546875" style="219" customWidth="1"/>
    <col min="13838" max="13840" width="26.140625" style="219" customWidth="1"/>
    <col min="13841" max="13841" width="19.140625" style="219" customWidth="1"/>
    <col min="13842" max="13842" width="26.28515625" style="219" customWidth="1"/>
    <col min="13843" max="13843" width="36.140625" style="219" customWidth="1"/>
    <col min="13844" max="13844" width="17.5703125" style="219" customWidth="1"/>
    <col min="13845" max="14080" width="9.140625" style="219"/>
    <col min="14081" max="14081" width="8" style="219" customWidth="1"/>
    <col min="14082" max="14082" width="16.5703125" style="219" customWidth="1"/>
    <col min="14083" max="14083" width="41.28515625" style="219" customWidth="1"/>
    <col min="14084" max="14084" width="20.42578125" style="219" customWidth="1"/>
    <col min="14085" max="14085" width="20.140625" style="219" customWidth="1"/>
    <col min="14086" max="14086" width="26.42578125" style="219" customWidth="1"/>
    <col min="14087" max="14087" width="18.42578125" style="219" customWidth="1"/>
    <col min="14088" max="14088" width="32.7109375" style="219" customWidth="1"/>
    <col min="14089" max="14089" width="33.28515625" style="219" customWidth="1"/>
    <col min="14090" max="14090" width="40.5703125" style="219" customWidth="1"/>
    <col min="14091" max="14091" width="20.7109375" style="219" customWidth="1"/>
    <col min="14092" max="14092" width="27" style="219" customWidth="1"/>
    <col min="14093" max="14093" width="11.85546875" style="219" customWidth="1"/>
    <col min="14094" max="14096" width="26.140625" style="219" customWidth="1"/>
    <col min="14097" max="14097" width="19.140625" style="219" customWidth="1"/>
    <col min="14098" max="14098" width="26.28515625" style="219" customWidth="1"/>
    <col min="14099" max="14099" width="36.140625" style="219" customWidth="1"/>
    <col min="14100" max="14100" width="17.5703125" style="219" customWidth="1"/>
    <col min="14101" max="14336" width="9.140625" style="219"/>
    <col min="14337" max="14337" width="8" style="219" customWidth="1"/>
    <col min="14338" max="14338" width="16.5703125" style="219" customWidth="1"/>
    <col min="14339" max="14339" width="41.28515625" style="219" customWidth="1"/>
    <col min="14340" max="14340" width="20.42578125" style="219" customWidth="1"/>
    <col min="14341" max="14341" width="20.140625" style="219" customWidth="1"/>
    <col min="14342" max="14342" width="26.42578125" style="219" customWidth="1"/>
    <col min="14343" max="14343" width="18.42578125" style="219" customWidth="1"/>
    <col min="14344" max="14344" width="32.7109375" style="219" customWidth="1"/>
    <col min="14345" max="14345" width="33.28515625" style="219" customWidth="1"/>
    <col min="14346" max="14346" width="40.5703125" style="219" customWidth="1"/>
    <col min="14347" max="14347" width="20.7109375" style="219" customWidth="1"/>
    <col min="14348" max="14348" width="27" style="219" customWidth="1"/>
    <col min="14349" max="14349" width="11.85546875" style="219" customWidth="1"/>
    <col min="14350" max="14352" width="26.140625" style="219" customWidth="1"/>
    <col min="14353" max="14353" width="19.140625" style="219" customWidth="1"/>
    <col min="14354" max="14354" width="26.28515625" style="219" customWidth="1"/>
    <col min="14355" max="14355" width="36.140625" style="219" customWidth="1"/>
    <col min="14356" max="14356" width="17.5703125" style="219" customWidth="1"/>
    <col min="14357" max="14592" width="9.140625" style="219"/>
    <col min="14593" max="14593" width="8" style="219" customWidth="1"/>
    <col min="14594" max="14594" width="16.5703125" style="219" customWidth="1"/>
    <col min="14595" max="14595" width="41.28515625" style="219" customWidth="1"/>
    <col min="14596" max="14596" width="20.42578125" style="219" customWidth="1"/>
    <col min="14597" max="14597" width="20.140625" style="219" customWidth="1"/>
    <col min="14598" max="14598" width="26.42578125" style="219" customWidth="1"/>
    <col min="14599" max="14599" width="18.42578125" style="219" customWidth="1"/>
    <col min="14600" max="14600" width="32.7109375" style="219" customWidth="1"/>
    <col min="14601" max="14601" width="33.28515625" style="219" customWidth="1"/>
    <col min="14602" max="14602" width="40.5703125" style="219" customWidth="1"/>
    <col min="14603" max="14603" width="20.7109375" style="219" customWidth="1"/>
    <col min="14604" max="14604" width="27" style="219" customWidth="1"/>
    <col min="14605" max="14605" width="11.85546875" style="219" customWidth="1"/>
    <col min="14606" max="14608" width="26.140625" style="219" customWidth="1"/>
    <col min="14609" max="14609" width="19.140625" style="219" customWidth="1"/>
    <col min="14610" max="14610" width="26.28515625" style="219" customWidth="1"/>
    <col min="14611" max="14611" width="36.140625" style="219" customWidth="1"/>
    <col min="14612" max="14612" width="17.5703125" style="219" customWidth="1"/>
    <col min="14613" max="14848" width="9.140625" style="219"/>
    <col min="14849" max="14849" width="8" style="219" customWidth="1"/>
    <col min="14850" max="14850" width="16.5703125" style="219" customWidth="1"/>
    <col min="14851" max="14851" width="41.28515625" style="219" customWidth="1"/>
    <col min="14852" max="14852" width="20.42578125" style="219" customWidth="1"/>
    <col min="14853" max="14853" width="20.140625" style="219" customWidth="1"/>
    <col min="14854" max="14854" width="26.42578125" style="219" customWidth="1"/>
    <col min="14855" max="14855" width="18.42578125" style="219" customWidth="1"/>
    <col min="14856" max="14856" width="32.7109375" style="219" customWidth="1"/>
    <col min="14857" max="14857" width="33.28515625" style="219" customWidth="1"/>
    <col min="14858" max="14858" width="40.5703125" style="219" customWidth="1"/>
    <col min="14859" max="14859" width="20.7109375" style="219" customWidth="1"/>
    <col min="14860" max="14860" width="27" style="219" customWidth="1"/>
    <col min="14861" max="14861" width="11.85546875" style="219" customWidth="1"/>
    <col min="14862" max="14864" width="26.140625" style="219" customWidth="1"/>
    <col min="14865" max="14865" width="19.140625" style="219" customWidth="1"/>
    <col min="14866" max="14866" width="26.28515625" style="219" customWidth="1"/>
    <col min="14867" max="14867" width="36.140625" style="219" customWidth="1"/>
    <col min="14868" max="14868" width="17.5703125" style="219" customWidth="1"/>
    <col min="14869" max="15104" width="9.140625" style="219"/>
    <col min="15105" max="15105" width="8" style="219" customWidth="1"/>
    <col min="15106" max="15106" width="16.5703125" style="219" customWidth="1"/>
    <col min="15107" max="15107" width="41.28515625" style="219" customWidth="1"/>
    <col min="15108" max="15108" width="20.42578125" style="219" customWidth="1"/>
    <col min="15109" max="15109" width="20.140625" style="219" customWidth="1"/>
    <col min="15110" max="15110" width="26.42578125" style="219" customWidth="1"/>
    <col min="15111" max="15111" width="18.42578125" style="219" customWidth="1"/>
    <col min="15112" max="15112" width="32.7109375" style="219" customWidth="1"/>
    <col min="15113" max="15113" width="33.28515625" style="219" customWidth="1"/>
    <col min="15114" max="15114" width="40.5703125" style="219" customWidth="1"/>
    <col min="15115" max="15115" width="20.7109375" style="219" customWidth="1"/>
    <col min="15116" max="15116" width="27" style="219" customWidth="1"/>
    <col min="15117" max="15117" width="11.85546875" style="219" customWidth="1"/>
    <col min="15118" max="15120" width="26.140625" style="219" customWidth="1"/>
    <col min="15121" max="15121" width="19.140625" style="219" customWidth="1"/>
    <col min="15122" max="15122" width="26.28515625" style="219" customWidth="1"/>
    <col min="15123" max="15123" width="36.140625" style="219" customWidth="1"/>
    <col min="15124" max="15124" width="17.5703125" style="219" customWidth="1"/>
    <col min="15125" max="15360" width="9.140625" style="219"/>
    <col min="15361" max="15361" width="8" style="219" customWidth="1"/>
    <col min="15362" max="15362" width="16.5703125" style="219" customWidth="1"/>
    <col min="15363" max="15363" width="41.28515625" style="219" customWidth="1"/>
    <col min="15364" max="15364" width="20.42578125" style="219" customWidth="1"/>
    <col min="15365" max="15365" width="20.140625" style="219" customWidth="1"/>
    <col min="15366" max="15366" width="26.42578125" style="219" customWidth="1"/>
    <col min="15367" max="15367" width="18.42578125" style="219" customWidth="1"/>
    <col min="15368" max="15368" width="32.7109375" style="219" customWidth="1"/>
    <col min="15369" max="15369" width="33.28515625" style="219" customWidth="1"/>
    <col min="15370" max="15370" width="40.5703125" style="219" customWidth="1"/>
    <col min="15371" max="15371" width="20.7109375" style="219" customWidth="1"/>
    <col min="15372" max="15372" width="27" style="219" customWidth="1"/>
    <col min="15373" max="15373" width="11.85546875" style="219" customWidth="1"/>
    <col min="15374" max="15376" width="26.140625" style="219" customWidth="1"/>
    <col min="15377" max="15377" width="19.140625" style="219" customWidth="1"/>
    <col min="15378" max="15378" width="26.28515625" style="219" customWidth="1"/>
    <col min="15379" max="15379" width="36.140625" style="219" customWidth="1"/>
    <col min="15380" max="15380" width="17.5703125" style="219" customWidth="1"/>
    <col min="15381" max="15616" width="9.140625" style="219"/>
    <col min="15617" max="15617" width="8" style="219" customWidth="1"/>
    <col min="15618" max="15618" width="16.5703125" style="219" customWidth="1"/>
    <col min="15619" max="15619" width="41.28515625" style="219" customWidth="1"/>
    <col min="15620" max="15620" width="20.42578125" style="219" customWidth="1"/>
    <col min="15621" max="15621" width="20.140625" style="219" customWidth="1"/>
    <col min="15622" max="15622" width="26.42578125" style="219" customWidth="1"/>
    <col min="15623" max="15623" width="18.42578125" style="219" customWidth="1"/>
    <col min="15624" max="15624" width="32.7109375" style="219" customWidth="1"/>
    <col min="15625" max="15625" width="33.28515625" style="219" customWidth="1"/>
    <col min="15626" max="15626" width="40.5703125" style="219" customWidth="1"/>
    <col min="15627" max="15627" width="20.7109375" style="219" customWidth="1"/>
    <col min="15628" max="15628" width="27" style="219" customWidth="1"/>
    <col min="15629" max="15629" width="11.85546875" style="219" customWidth="1"/>
    <col min="15630" max="15632" width="26.140625" style="219" customWidth="1"/>
    <col min="15633" max="15633" width="19.140625" style="219" customWidth="1"/>
    <col min="15634" max="15634" width="26.28515625" style="219" customWidth="1"/>
    <col min="15635" max="15635" width="36.140625" style="219" customWidth="1"/>
    <col min="15636" max="15636" width="17.5703125" style="219" customWidth="1"/>
    <col min="15637" max="15872" width="9.140625" style="219"/>
    <col min="15873" max="15873" width="8" style="219" customWidth="1"/>
    <col min="15874" max="15874" width="16.5703125" style="219" customWidth="1"/>
    <col min="15875" max="15875" width="41.28515625" style="219" customWidth="1"/>
    <col min="15876" max="15876" width="20.42578125" style="219" customWidth="1"/>
    <col min="15877" max="15877" width="20.140625" style="219" customWidth="1"/>
    <col min="15878" max="15878" width="26.42578125" style="219" customWidth="1"/>
    <col min="15879" max="15879" width="18.42578125" style="219" customWidth="1"/>
    <col min="15880" max="15880" width="32.7109375" style="219" customWidth="1"/>
    <col min="15881" max="15881" width="33.28515625" style="219" customWidth="1"/>
    <col min="15882" max="15882" width="40.5703125" style="219" customWidth="1"/>
    <col min="15883" max="15883" width="20.7109375" style="219" customWidth="1"/>
    <col min="15884" max="15884" width="27" style="219" customWidth="1"/>
    <col min="15885" max="15885" width="11.85546875" style="219" customWidth="1"/>
    <col min="15886" max="15888" width="26.140625" style="219" customWidth="1"/>
    <col min="15889" max="15889" width="19.140625" style="219" customWidth="1"/>
    <col min="15890" max="15890" width="26.28515625" style="219" customWidth="1"/>
    <col min="15891" max="15891" width="36.140625" style="219" customWidth="1"/>
    <col min="15892" max="15892" width="17.5703125" style="219" customWidth="1"/>
    <col min="15893" max="16128" width="9.140625" style="219"/>
    <col min="16129" max="16129" width="8" style="219" customWidth="1"/>
    <col min="16130" max="16130" width="16.5703125" style="219" customWidth="1"/>
    <col min="16131" max="16131" width="41.28515625" style="219" customWidth="1"/>
    <col min="16132" max="16132" width="20.42578125" style="219" customWidth="1"/>
    <col min="16133" max="16133" width="20.140625" style="219" customWidth="1"/>
    <col min="16134" max="16134" width="26.42578125" style="219" customWidth="1"/>
    <col min="16135" max="16135" width="18.42578125" style="219" customWidth="1"/>
    <col min="16136" max="16136" width="32.7109375" style="219" customWidth="1"/>
    <col min="16137" max="16137" width="33.28515625" style="219" customWidth="1"/>
    <col min="16138" max="16138" width="40.5703125" style="219" customWidth="1"/>
    <col min="16139" max="16139" width="20.7109375" style="219" customWidth="1"/>
    <col min="16140" max="16140" width="27" style="219" customWidth="1"/>
    <col min="16141" max="16141" width="11.85546875" style="219" customWidth="1"/>
    <col min="16142" max="16144" width="26.140625" style="219" customWidth="1"/>
    <col min="16145" max="16145" width="19.140625" style="219" customWidth="1"/>
    <col min="16146" max="16146" width="26.28515625" style="219" customWidth="1"/>
    <col min="16147" max="16147" width="36.140625" style="219" customWidth="1"/>
    <col min="16148" max="16148" width="17.5703125" style="219" customWidth="1"/>
    <col min="16149" max="16384" width="9.140625" style="219"/>
  </cols>
  <sheetData>
    <row r="2" spans="1:20" ht="12.75" customHeight="1">
      <c r="A2" s="218" t="s">
        <v>507</v>
      </c>
      <c r="B2" s="218"/>
      <c r="C2" s="218"/>
      <c r="D2" s="218"/>
      <c r="E2" s="218"/>
      <c r="F2" s="218"/>
      <c r="G2" s="218"/>
      <c r="H2" s="218"/>
      <c r="I2" s="218"/>
      <c r="J2" s="218"/>
      <c r="K2" s="218"/>
      <c r="L2" s="218"/>
      <c r="M2" s="218"/>
      <c r="N2" s="218"/>
      <c r="O2" s="218"/>
      <c r="P2" s="218"/>
      <c r="Q2" s="218"/>
      <c r="R2" s="218"/>
      <c r="S2" s="218"/>
    </row>
    <row r="3" spans="1:20" ht="12.75" customHeight="1">
      <c r="A3" s="571" t="s">
        <v>508</v>
      </c>
      <c r="B3" s="571"/>
      <c r="C3" s="571"/>
      <c r="D3" s="571"/>
      <c r="E3" s="571"/>
      <c r="F3" s="571"/>
      <c r="G3" s="571"/>
      <c r="H3" s="571"/>
      <c r="I3" s="571"/>
      <c r="J3" s="571"/>
      <c r="K3" s="571"/>
      <c r="L3" s="571"/>
      <c r="M3" s="571"/>
      <c r="N3" s="571"/>
      <c r="O3" s="571"/>
      <c r="P3" s="571"/>
      <c r="Q3" s="571"/>
      <c r="R3" s="571"/>
      <c r="S3" s="571"/>
      <c r="T3" s="571"/>
    </row>
    <row r="4" spans="1:20" ht="17.25" customHeight="1">
      <c r="A4" s="571"/>
      <c r="B4" s="571"/>
      <c r="C4" s="571"/>
      <c r="D4" s="571"/>
      <c r="E4" s="571"/>
      <c r="F4" s="571"/>
      <c r="G4" s="571"/>
      <c r="H4" s="571"/>
      <c r="I4" s="571"/>
      <c r="J4" s="571"/>
      <c r="K4" s="571"/>
      <c r="L4" s="571"/>
      <c r="M4" s="571"/>
      <c r="N4" s="571"/>
      <c r="O4" s="571"/>
      <c r="P4" s="571"/>
      <c r="Q4" s="571"/>
      <c r="R4" s="571"/>
      <c r="S4" s="571"/>
      <c r="T4" s="571"/>
    </row>
    <row r="5" spans="1:20" ht="18.75">
      <c r="A5" s="220"/>
      <c r="B5" s="220"/>
      <c r="C5" s="220"/>
      <c r="D5" s="220"/>
      <c r="E5" s="220"/>
      <c r="F5" s="220"/>
      <c r="G5" s="220"/>
      <c r="H5" s="220"/>
      <c r="I5" s="220"/>
      <c r="J5" s="220"/>
      <c r="K5" s="220"/>
      <c r="L5" s="220"/>
      <c r="M5" s="572"/>
      <c r="N5" s="572"/>
      <c r="O5" s="221"/>
      <c r="P5" s="222"/>
      <c r="Q5" s="222"/>
      <c r="R5" s="573" t="s">
        <v>509</v>
      </c>
      <c r="S5" s="573"/>
      <c r="T5" s="573"/>
    </row>
    <row r="6" spans="1:20">
      <c r="A6" s="220"/>
      <c r="B6" s="220"/>
      <c r="C6" s="220"/>
      <c r="D6" s="220"/>
      <c r="E6" s="220"/>
      <c r="F6" s="220"/>
      <c r="G6" s="220"/>
      <c r="H6" s="220"/>
      <c r="I6" s="220"/>
      <c r="J6" s="220"/>
      <c r="K6" s="220"/>
      <c r="L6" s="220"/>
      <c r="M6" s="220"/>
      <c r="N6" s="220"/>
      <c r="O6" s="220"/>
      <c r="P6" s="220"/>
      <c r="Q6" s="220"/>
      <c r="R6" s="220"/>
      <c r="S6" s="220"/>
    </row>
    <row r="7" spans="1:20" s="223" customFormat="1" ht="138" customHeight="1">
      <c r="A7" s="568" t="s">
        <v>510</v>
      </c>
      <c r="B7" s="568" t="s">
        <v>511</v>
      </c>
      <c r="C7" s="568" t="s">
        <v>512</v>
      </c>
      <c r="D7" s="568" t="s">
        <v>513</v>
      </c>
      <c r="E7" s="568" t="s">
        <v>514</v>
      </c>
      <c r="F7" s="568" t="s">
        <v>515</v>
      </c>
      <c r="G7" s="568"/>
      <c r="H7" s="568"/>
      <c r="I7" s="568"/>
      <c r="J7" s="568"/>
      <c r="K7" s="568"/>
      <c r="L7" s="568" t="s">
        <v>516</v>
      </c>
      <c r="M7" s="568" t="s">
        <v>517</v>
      </c>
      <c r="N7" s="568"/>
      <c r="O7" s="568"/>
      <c r="P7" s="568"/>
      <c r="Q7" s="568"/>
      <c r="R7" s="568" t="s">
        <v>518</v>
      </c>
      <c r="S7" s="568" t="s">
        <v>519</v>
      </c>
      <c r="T7" s="570" t="s">
        <v>520</v>
      </c>
    </row>
    <row r="8" spans="1:20" ht="103.5" customHeight="1">
      <c r="A8" s="568"/>
      <c r="B8" s="568"/>
      <c r="C8" s="568"/>
      <c r="D8" s="568"/>
      <c r="E8" s="568"/>
      <c r="F8" s="236" t="s">
        <v>521</v>
      </c>
      <c r="G8" s="236" t="s">
        <v>522</v>
      </c>
      <c r="H8" s="236" t="s">
        <v>523</v>
      </c>
      <c r="I8" s="236" t="s">
        <v>524</v>
      </c>
      <c r="J8" s="236" t="s">
        <v>525</v>
      </c>
      <c r="K8" s="236" t="s">
        <v>526</v>
      </c>
      <c r="L8" s="568"/>
      <c r="M8" s="236" t="s">
        <v>527</v>
      </c>
      <c r="N8" s="236" t="s">
        <v>528</v>
      </c>
      <c r="O8" s="236" t="s">
        <v>529</v>
      </c>
      <c r="P8" s="236" t="s">
        <v>530</v>
      </c>
      <c r="Q8" s="236" t="s">
        <v>526</v>
      </c>
      <c r="R8" s="568"/>
      <c r="S8" s="568"/>
      <c r="T8" s="570"/>
    </row>
    <row r="9" spans="1:20" ht="18.75" customHeight="1">
      <c r="A9" s="241"/>
      <c r="B9" s="566" t="s">
        <v>531</v>
      </c>
      <c r="C9" s="566"/>
      <c r="D9" s="242"/>
      <c r="E9" s="242"/>
      <c r="F9" s="243"/>
      <c r="G9" s="224"/>
      <c r="H9" s="225"/>
      <c r="I9" s="225"/>
      <c r="J9" s="225"/>
      <c r="K9" s="225"/>
      <c r="L9" s="225"/>
      <c r="M9" s="225"/>
      <c r="N9" s="225"/>
      <c r="O9" s="225"/>
      <c r="P9" s="225"/>
      <c r="Q9" s="225"/>
      <c r="R9" s="225"/>
      <c r="S9" s="225"/>
      <c r="T9" s="225"/>
    </row>
    <row r="10" spans="1:20" ht="57.75" customHeight="1">
      <c r="A10" s="226">
        <v>1</v>
      </c>
      <c r="B10" s="227" t="s">
        <v>532</v>
      </c>
      <c r="C10" s="227" t="s">
        <v>533</v>
      </c>
      <c r="D10" s="226">
        <v>154</v>
      </c>
      <c r="E10" s="567">
        <v>25</v>
      </c>
      <c r="F10" s="568" t="s">
        <v>534</v>
      </c>
      <c r="G10" s="226">
        <v>35</v>
      </c>
      <c r="H10" s="227" t="s">
        <v>535</v>
      </c>
      <c r="I10" s="227" t="s">
        <v>536</v>
      </c>
      <c r="J10" s="227" t="s">
        <v>537</v>
      </c>
      <c r="K10" s="228"/>
      <c r="L10" s="569">
        <v>91178</v>
      </c>
      <c r="M10" s="570">
        <v>154</v>
      </c>
      <c r="N10" s="570" t="s">
        <v>538</v>
      </c>
      <c r="O10" s="570" t="s">
        <v>539</v>
      </c>
      <c r="P10" s="570" t="s">
        <v>540</v>
      </c>
      <c r="Q10" s="570" t="s">
        <v>541</v>
      </c>
      <c r="R10" s="570" t="s">
        <v>542</v>
      </c>
      <c r="S10" s="570"/>
      <c r="T10" s="570"/>
    </row>
    <row r="11" spans="1:20" ht="47.25">
      <c r="A11" s="226">
        <v>2</v>
      </c>
      <c r="B11" s="227" t="s">
        <v>532</v>
      </c>
      <c r="C11" s="227" t="s">
        <v>543</v>
      </c>
      <c r="D11" s="226">
        <v>154</v>
      </c>
      <c r="E11" s="567"/>
      <c r="F11" s="568"/>
      <c r="G11" s="226">
        <v>6</v>
      </c>
      <c r="H11" s="227" t="s">
        <v>544</v>
      </c>
      <c r="I11" s="227" t="s">
        <v>545</v>
      </c>
      <c r="J11" s="227" t="s">
        <v>546</v>
      </c>
      <c r="K11" s="228"/>
      <c r="L11" s="569"/>
      <c r="M11" s="570"/>
      <c r="N11" s="570"/>
      <c r="O11" s="570"/>
      <c r="P11" s="570"/>
      <c r="Q11" s="570"/>
      <c r="R11" s="570"/>
      <c r="S11" s="570"/>
      <c r="T11" s="570"/>
    </row>
    <row r="12" spans="1:20" ht="47.25">
      <c r="A12" s="226">
        <v>3</v>
      </c>
      <c r="B12" s="227" t="s">
        <v>532</v>
      </c>
      <c r="C12" s="227" t="s">
        <v>547</v>
      </c>
      <c r="D12" s="226">
        <v>154</v>
      </c>
      <c r="E12" s="567"/>
      <c r="F12" s="568"/>
      <c r="G12" s="226">
        <v>6</v>
      </c>
      <c r="H12" s="227" t="s">
        <v>544</v>
      </c>
      <c r="I12" s="227" t="s">
        <v>545</v>
      </c>
      <c r="J12" s="227" t="s">
        <v>546</v>
      </c>
      <c r="K12" s="228"/>
      <c r="L12" s="569"/>
      <c r="M12" s="570"/>
      <c r="N12" s="570"/>
      <c r="O12" s="570"/>
      <c r="P12" s="570"/>
      <c r="Q12" s="570"/>
      <c r="R12" s="570"/>
      <c r="S12" s="570"/>
      <c r="T12" s="570"/>
    </row>
    <row r="13" spans="1:20" ht="47.25">
      <c r="A13" s="226">
        <v>4</v>
      </c>
      <c r="B13" s="227" t="s">
        <v>532</v>
      </c>
      <c r="C13" s="227" t="s">
        <v>548</v>
      </c>
      <c r="D13" s="226">
        <v>154</v>
      </c>
      <c r="E13" s="567">
        <v>25</v>
      </c>
      <c r="F13" s="568" t="s">
        <v>534</v>
      </c>
      <c r="G13" s="226">
        <v>35</v>
      </c>
      <c r="H13" s="227" t="s">
        <v>549</v>
      </c>
      <c r="I13" s="227" t="s">
        <v>536</v>
      </c>
      <c r="J13" s="227" t="s">
        <v>550</v>
      </c>
      <c r="K13" s="228"/>
      <c r="L13" s="569">
        <v>85412</v>
      </c>
      <c r="M13" s="570">
        <v>154</v>
      </c>
      <c r="N13" s="570" t="s">
        <v>538</v>
      </c>
      <c r="O13" s="570" t="s">
        <v>539</v>
      </c>
      <c r="P13" s="570" t="s">
        <v>540</v>
      </c>
      <c r="Q13" s="570" t="s">
        <v>551</v>
      </c>
      <c r="R13" s="570"/>
      <c r="S13" s="570"/>
      <c r="T13" s="570"/>
    </row>
    <row r="14" spans="1:20" ht="47.25">
      <c r="A14" s="226">
        <v>5</v>
      </c>
      <c r="B14" s="227" t="s">
        <v>532</v>
      </c>
      <c r="C14" s="227" t="s">
        <v>552</v>
      </c>
      <c r="D14" s="226">
        <v>154</v>
      </c>
      <c r="E14" s="567"/>
      <c r="F14" s="568"/>
      <c r="G14" s="226">
        <v>6</v>
      </c>
      <c r="H14" s="227" t="s">
        <v>544</v>
      </c>
      <c r="I14" s="227" t="s">
        <v>545</v>
      </c>
      <c r="J14" s="227" t="s">
        <v>546</v>
      </c>
      <c r="K14" s="228"/>
      <c r="L14" s="569"/>
      <c r="M14" s="570"/>
      <c r="N14" s="570"/>
      <c r="O14" s="570"/>
      <c r="P14" s="570"/>
      <c r="Q14" s="570"/>
      <c r="R14" s="570"/>
      <c r="S14" s="570"/>
      <c r="T14" s="570"/>
    </row>
    <row r="15" spans="1:20" ht="47.25">
      <c r="A15" s="226">
        <v>6</v>
      </c>
      <c r="B15" s="227" t="s">
        <v>532</v>
      </c>
      <c r="C15" s="227" t="s">
        <v>553</v>
      </c>
      <c r="D15" s="226">
        <v>154</v>
      </c>
      <c r="E15" s="567"/>
      <c r="F15" s="568"/>
      <c r="G15" s="226">
        <v>6</v>
      </c>
      <c r="H15" s="227" t="s">
        <v>554</v>
      </c>
      <c r="I15" s="227" t="s">
        <v>545</v>
      </c>
      <c r="J15" s="227" t="s">
        <v>546</v>
      </c>
      <c r="K15" s="229"/>
      <c r="L15" s="569"/>
      <c r="M15" s="570"/>
      <c r="N15" s="570"/>
      <c r="O15" s="570"/>
      <c r="P15" s="570"/>
      <c r="Q15" s="570"/>
      <c r="R15" s="570"/>
      <c r="S15" s="570"/>
      <c r="T15" s="570"/>
    </row>
    <row r="16" spans="1:20" s="233" customFormat="1" ht="47.25">
      <c r="A16" s="226">
        <v>7</v>
      </c>
      <c r="B16" s="227" t="s">
        <v>532</v>
      </c>
      <c r="C16" s="227" t="s">
        <v>555</v>
      </c>
      <c r="D16" s="230">
        <v>154</v>
      </c>
      <c r="E16" s="574">
        <v>32</v>
      </c>
      <c r="F16" s="570" t="s">
        <v>534</v>
      </c>
      <c r="G16" s="230">
        <v>10</v>
      </c>
      <c r="H16" s="227" t="s">
        <v>556</v>
      </c>
      <c r="I16" s="227" t="s">
        <v>557</v>
      </c>
      <c r="J16" s="227" t="s">
        <v>546</v>
      </c>
      <c r="K16" s="232"/>
      <c r="L16" s="575">
        <v>36464</v>
      </c>
      <c r="M16" s="570">
        <v>154</v>
      </c>
      <c r="N16" s="570" t="s">
        <v>558</v>
      </c>
      <c r="O16" s="570" t="s">
        <v>559</v>
      </c>
      <c r="P16" s="570" t="s">
        <v>560</v>
      </c>
      <c r="Q16" s="570" t="s">
        <v>561</v>
      </c>
      <c r="R16" s="570" t="s">
        <v>562</v>
      </c>
      <c r="S16" s="570"/>
      <c r="T16" s="570"/>
    </row>
    <row r="17" spans="1:20" s="233" customFormat="1" ht="47.25">
      <c r="A17" s="226">
        <v>8</v>
      </c>
      <c r="B17" s="227" t="s">
        <v>532</v>
      </c>
      <c r="C17" s="227" t="s">
        <v>563</v>
      </c>
      <c r="D17" s="230">
        <v>154</v>
      </c>
      <c r="E17" s="574"/>
      <c r="F17" s="570"/>
      <c r="G17" s="230">
        <v>6</v>
      </c>
      <c r="H17" s="227" t="s">
        <v>556</v>
      </c>
      <c r="I17" s="227" t="s">
        <v>564</v>
      </c>
      <c r="J17" s="227" t="s">
        <v>565</v>
      </c>
      <c r="K17" s="232"/>
      <c r="L17" s="575"/>
      <c r="M17" s="570"/>
      <c r="N17" s="570"/>
      <c r="O17" s="570"/>
      <c r="P17" s="570"/>
      <c r="Q17" s="570"/>
      <c r="R17" s="570"/>
      <c r="S17" s="570"/>
      <c r="T17" s="570"/>
    </row>
    <row r="18" spans="1:20" s="233" customFormat="1" ht="47.25">
      <c r="A18" s="226">
        <v>9</v>
      </c>
      <c r="B18" s="227" t="s">
        <v>532</v>
      </c>
      <c r="C18" s="227" t="s">
        <v>566</v>
      </c>
      <c r="D18" s="230">
        <v>154</v>
      </c>
      <c r="E18" s="574">
        <v>40</v>
      </c>
      <c r="F18" s="570" t="s">
        <v>534</v>
      </c>
      <c r="G18" s="230">
        <v>10</v>
      </c>
      <c r="H18" s="227" t="s">
        <v>556</v>
      </c>
      <c r="I18" s="227" t="s">
        <v>567</v>
      </c>
      <c r="J18" s="227" t="s">
        <v>546</v>
      </c>
      <c r="K18" s="232"/>
      <c r="L18" s="575">
        <v>33971</v>
      </c>
      <c r="M18" s="570">
        <v>154</v>
      </c>
      <c r="N18" s="570" t="s">
        <v>558</v>
      </c>
      <c r="O18" s="570" t="s">
        <v>559</v>
      </c>
      <c r="P18" s="570" t="s">
        <v>560</v>
      </c>
      <c r="Q18" s="570" t="s">
        <v>568</v>
      </c>
      <c r="R18" s="570"/>
      <c r="S18" s="570"/>
      <c r="T18" s="570"/>
    </row>
    <row r="19" spans="1:20" s="233" customFormat="1" ht="47.25">
      <c r="A19" s="226">
        <v>10</v>
      </c>
      <c r="B19" s="227" t="s">
        <v>532</v>
      </c>
      <c r="C19" s="227" t="s">
        <v>569</v>
      </c>
      <c r="D19" s="230">
        <v>154</v>
      </c>
      <c r="E19" s="574"/>
      <c r="F19" s="570"/>
      <c r="G19" s="230">
        <v>6</v>
      </c>
      <c r="H19" s="227" t="s">
        <v>556</v>
      </c>
      <c r="I19" s="227" t="s">
        <v>570</v>
      </c>
      <c r="J19" s="227" t="s">
        <v>565</v>
      </c>
      <c r="K19" s="232"/>
      <c r="L19" s="575"/>
      <c r="M19" s="570"/>
      <c r="N19" s="570"/>
      <c r="O19" s="570"/>
      <c r="P19" s="570"/>
      <c r="Q19" s="570"/>
      <c r="R19" s="570"/>
      <c r="S19" s="570"/>
      <c r="T19" s="570"/>
    </row>
    <row r="20" spans="1:20" s="233" customFormat="1" ht="47.25">
      <c r="A20" s="226">
        <v>11</v>
      </c>
      <c r="B20" s="227" t="s">
        <v>532</v>
      </c>
      <c r="C20" s="227" t="s">
        <v>571</v>
      </c>
      <c r="D20" s="230">
        <v>154</v>
      </c>
      <c r="E20" s="574">
        <v>25</v>
      </c>
      <c r="F20" s="570" t="s">
        <v>534</v>
      </c>
      <c r="G20" s="230">
        <v>35</v>
      </c>
      <c r="H20" s="227" t="s">
        <v>572</v>
      </c>
      <c r="I20" s="227" t="s">
        <v>573</v>
      </c>
      <c r="J20" s="227" t="s">
        <v>574</v>
      </c>
      <c r="K20" s="232"/>
      <c r="L20" s="575">
        <v>34751</v>
      </c>
      <c r="M20" s="570">
        <v>154</v>
      </c>
      <c r="N20" s="570" t="s">
        <v>575</v>
      </c>
      <c r="O20" s="570" t="s">
        <v>576</v>
      </c>
      <c r="P20" s="570" t="s">
        <v>560</v>
      </c>
      <c r="Q20" s="570" t="s">
        <v>577</v>
      </c>
      <c r="R20" s="570" t="s">
        <v>578</v>
      </c>
      <c r="S20" s="231"/>
      <c r="T20" s="234"/>
    </row>
    <row r="21" spans="1:20" s="233" customFormat="1" ht="47.25">
      <c r="A21" s="226">
        <v>12</v>
      </c>
      <c r="B21" s="227" t="s">
        <v>532</v>
      </c>
      <c r="C21" s="227" t="s">
        <v>579</v>
      </c>
      <c r="D21" s="230">
        <v>154</v>
      </c>
      <c r="E21" s="574"/>
      <c r="F21" s="570"/>
      <c r="G21" s="230">
        <v>6</v>
      </c>
      <c r="H21" s="227" t="s">
        <v>580</v>
      </c>
      <c r="I21" s="227" t="s">
        <v>581</v>
      </c>
      <c r="J21" s="227" t="s">
        <v>582</v>
      </c>
      <c r="K21" s="232"/>
      <c r="L21" s="575"/>
      <c r="M21" s="570"/>
      <c r="N21" s="570"/>
      <c r="O21" s="570"/>
      <c r="P21" s="570"/>
      <c r="Q21" s="570"/>
      <c r="R21" s="570"/>
      <c r="S21" s="231"/>
      <c r="T21" s="234"/>
    </row>
    <row r="22" spans="1:20" s="233" customFormat="1" ht="47.25" customHeight="1">
      <c r="A22" s="226">
        <v>13</v>
      </c>
      <c r="B22" s="227" t="s">
        <v>532</v>
      </c>
      <c r="C22" s="227" t="s">
        <v>583</v>
      </c>
      <c r="D22" s="230">
        <v>154</v>
      </c>
      <c r="E22" s="574">
        <v>25</v>
      </c>
      <c r="F22" s="570" t="s">
        <v>534</v>
      </c>
      <c r="G22" s="230">
        <v>35</v>
      </c>
      <c r="H22" s="227" t="s">
        <v>584</v>
      </c>
      <c r="I22" s="227" t="s">
        <v>573</v>
      </c>
      <c r="J22" s="227" t="s">
        <v>574</v>
      </c>
      <c r="K22" s="232"/>
      <c r="L22" s="569">
        <v>35811</v>
      </c>
      <c r="M22" s="570">
        <v>154</v>
      </c>
      <c r="N22" s="570" t="s">
        <v>585</v>
      </c>
      <c r="O22" s="570" t="s">
        <v>576</v>
      </c>
      <c r="P22" s="570" t="s">
        <v>560</v>
      </c>
      <c r="Q22" s="570" t="s">
        <v>586</v>
      </c>
      <c r="R22" s="570"/>
      <c r="S22" s="231"/>
      <c r="T22" s="234"/>
    </row>
    <row r="23" spans="1:20" s="233" customFormat="1" ht="47.25">
      <c r="A23" s="226">
        <v>14</v>
      </c>
      <c r="B23" s="227" t="s">
        <v>532</v>
      </c>
      <c r="C23" s="227" t="s">
        <v>587</v>
      </c>
      <c r="D23" s="230">
        <v>154</v>
      </c>
      <c r="E23" s="574"/>
      <c r="F23" s="570"/>
      <c r="G23" s="230">
        <v>35</v>
      </c>
      <c r="H23" s="227" t="s">
        <v>572</v>
      </c>
      <c r="I23" s="227"/>
      <c r="J23" s="227" t="s">
        <v>574</v>
      </c>
      <c r="K23" s="232"/>
      <c r="L23" s="569"/>
      <c r="M23" s="570"/>
      <c r="N23" s="570"/>
      <c r="O23" s="570"/>
      <c r="P23" s="570"/>
      <c r="Q23" s="570"/>
      <c r="R23" s="570"/>
      <c r="S23" s="231"/>
      <c r="T23" s="234"/>
    </row>
    <row r="24" spans="1:20" s="233" customFormat="1" ht="73.5" customHeight="1">
      <c r="A24" s="226">
        <v>15</v>
      </c>
      <c r="B24" s="227" t="s">
        <v>532</v>
      </c>
      <c r="C24" s="227" t="s">
        <v>588</v>
      </c>
      <c r="D24" s="230">
        <v>154</v>
      </c>
      <c r="E24" s="574"/>
      <c r="F24" s="570"/>
      <c r="G24" s="230">
        <v>6</v>
      </c>
      <c r="H24" s="227" t="s">
        <v>580</v>
      </c>
      <c r="I24" s="227" t="s">
        <v>581</v>
      </c>
      <c r="J24" s="227" t="s">
        <v>582</v>
      </c>
      <c r="K24" s="232"/>
      <c r="L24" s="569"/>
      <c r="M24" s="570"/>
      <c r="N24" s="570"/>
      <c r="O24" s="570"/>
      <c r="P24" s="570"/>
      <c r="Q24" s="570"/>
      <c r="R24" s="570"/>
      <c r="S24" s="231"/>
      <c r="T24" s="234"/>
    </row>
    <row r="25" spans="1:20" s="233" customFormat="1" ht="47.25">
      <c r="A25" s="226">
        <v>16</v>
      </c>
      <c r="B25" s="227" t="s">
        <v>532</v>
      </c>
      <c r="C25" s="227" t="s">
        <v>589</v>
      </c>
      <c r="D25" s="230">
        <v>150</v>
      </c>
      <c r="E25" s="574">
        <v>32</v>
      </c>
      <c r="F25" s="570" t="s">
        <v>534</v>
      </c>
      <c r="G25" s="230">
        <v>6</v>
      </c>
      <c r="H25" s="227" t="s">
        <v>590</v>
      </c>
      <c r="I25" s="227" t="s">
        <v>591</v>
      </c>
      <c r="J25" s="227" t="s">
        <v>592</v>
      </c>
      <c r="K25" s="231"/>
      <c r="L25" s="575">
        <v>14040</v>
      </c>
      <c r="M25" s="570">
        <v>154</v>
      </c>
      <c r="N25" s="570" t="s">
        <v>558</v>
      </c>
      <c r="O25" s="570" t="s">
        <v>559</v>
      </c>
      <c r="P25" s="570" t="s">
        <v>560</v>
      </c>
      <c r="Q25" s="570" t="s">
        <v>593</v>
      </c>
      <c r="R25" s="570" t="s">
        <v>594</v>
      </c>
      <c r="S25" s="231"/>
      <c r="T25" s="231"/>
    </row>
    <row r="26" spans="1:20" s="233" customFormat="1" ht="47.25">
      <c r="A26" s="226">
        <v>17</v>
      </c>
      <c r="B26" s="227" t="s">
        <v>532</v>
      </c>
      <c r="C26" s="227" t="s">
        <v>595</v>
      </c>
      <c r="D26" s="230">
        <v>150</v>
      </c>
      <c r="E26" s="574"/>
      <c r="F26" s="570"/>
      <c r="G26" s="230">
        <v>6</v>
      </c>
      <c r="H26" s="227" t="s">
        <v>590</v>
      </c>
      <c r="I26" s="227" t="s">
        <v>596</v>
      </c>
      <c r="J26" s="227" t="s">
        <v>597</v>
      </c>
      <c r="K26" s="231"/>
      <c r="L26" s="575"/>
      <c r="M26" s="570"/>
      <c r="N26" s="570"/>
      <c r="O26" s="570"/>
      <c r="P26" s="570"/>
      <c r="Q26" s="570"/>
      <c r="R26" s="570"/>
      <c r="S26" s="231"/>
      <c r="T26" s="231"/>
    </row>
    <row r="27" spans="1:20" s="233" customFormat="1" ht="47.25">
      <c r="A27" s="226">
        <v>18</v>
      </c>
      <c r="B27" s="227" t="s">
        <v>532</v>
      </c>
      <c r="C27" s="227" t="s">
        <v>598</v>
      </c>
      <c r="D27" s="230">
        <v>150</v>
      </c>
      <c r="E27" s="574">
        <v>32</v>
      </c>
      <c r="F27" s="570" t="s">
        <v>534</v>
      </c>
      <c r="G27" s="230">
        <v>6</v>
      </c>
      <c r="H27" s="227" t="s">
        <v>590</v>
      </c>
      <c r="I27" s="227" t="s">
        <v>596</v>
      </c>
      <c r="J27" s="227" t="s">
        <v>597</v>
      </c>
      <c r="K27" s="231"/>
      <c r="L27" s="575">
        <v>8444</v>
      </c>
      <c r="M27" s="570">
        <v>154</v>
      </c>
      <c r="N27" s="570" t="s">
        <v>558</v>
      </c>
      <c r="O27" s="570" t="s">
        <v>559</v>
      </c>
      <c r="P27" s="570" t="s">
        <v>560</v>
      </c>
      <c r="Q27" s="570" t="s">
        <v>599</v>
      </c>
      <c r="R27" s="570"/>
      <c r="S27" s="231"/>
      <c r="T27" s="231"/>
    </row>
    <row r="28" spans="1:20" s="233" customFormat="1" ht="47.25">
      <c r="A28" s="226">
        <v>19</v>
      </c>
      <c r="B28" s="227" t="s">
        <v>532</v>
      </c>
      <c r="C28" s="227" t="s">
        <v>600</v>
      </c>
      <c r="D28" s="230">
        <v>150</v>
      </c>
      <c r="E28" s="574"/>
      <c r="F28" s="570"/>
      <c r="G28" s="230">
        <v>6</v>
      </c>
      <c r="H28" s="227" t="s">
        <v>590</v>
      </c>
      <c r="I28" s="227" t="s">
        <v>591</v>
      </c>
      <c r="J28" s="227" t="s">
        <v>592</v>
      </c>
      <c r="K28" s="231"/>
      <c r="L28" s="575"/>
      <c r="M28" s="570"/>
      <c r="N28" s="570"/>
      <c r="O28" s="570"/>
      <c r="P28" s="570"/>
      <c r="Q28" s="570"/>
      <c r="R28" s="570"/>
      <c r="S28" s="231"/>
      <c r="T28" s="231"/>
    </row>
    <row r="29" spans="1:20" ht="15.75">
      <c r="A29" s="235"/>
      <c r="B29" s="225"/>
      <c r="C29" s="227" t="s">
        <v>601</v>
      </c>
      <c r="D29" s="236"/>
      <c r="E29" s="236"/>
      <c r="F29" s="237"/>
      <c r="G29" s="228"/>
      <c r="H29" s="227"/>
      <c r="I29" s="227"/>
      <c r="J29" s="227"/>
      <c r="K29" s="228"/>
      <c r="L29" s="228"/>
      <c r="M29" s="228"/>
      <c r="N29" s="228"/>
      <c r="O29" s="228"/>
      <c r="P29" s="228"/>
      <c r="Q29" s="228"/>
      <c r="R29" s="228"/>
      <c r="S29" s="228"/>
      <c r="T29" s="228"/>
    </row>
    <row r="30" spans="1:20" s="233" customFormat="1" ht="78.75">
      <c r="A30" s="226">
        <v>20</v>
      </c>
      <c r="B30" s="227" t="s">
        <v>532</v>
      </c>
      <c r="C30" s="227" t="s">
        <v>602</v>
      </c>
      <c r="D30" s="230">
        <v>35</v>
      </c>
      <c r="E30" s="238">
        <v>1.6</v>
      </c>
      <c r="F30" s="239" t="s">
        <v>534</v>
      </c>
      <c r="G30" s="230">
        <v>6</v>
      </c>
      <c r="H30" s="227" t="s">
        <v>603</v>
      </c>
      <c r="I30" s="227" t="s">
        <v>604</v>
      </c>
      <c r="J30" s="227" t="s">
        <v>605</v>
      </c>
      <c r="K30" s="231"/>
      <c r="L30" s="238">
        <v>29</v>
      </c>
      <c r="M30" s="239">
        <v>35</v>
      </c>
      <c r="N30" s="239" t="s">
        <v>606</v>
      </c>
      <c r="O30" s="239" t="s">
        <v>607</v>
      </c>
      <c r="P30" s="239" t="s">
        <v>560</v>
      </c>
      <c r="Q30" s="570" t="s">
        <v>608</v>
      </c>
      <c r="R30" s="570" t="s">
        <v>609</v>
      </c>
      <c r="S30" s="231"/>
      <c r="T30" s="231"/>
    </row>
    <row r="31" spans="1:20" s="233" customFormat="1" ht="78.75">
      <c r="A31" s="226">
        <v>21</v>
      </c>
      <c r="B31" s="227" t="s">
        <v>532</v>
      </c>
      <c r="C31" s="227" t="s">
        <v>610</v>
      </c>
      <c r="D31" s="230">
        <v>35</v>
      </c>
      <c r="E31" s="238">
        <v>2.5</v>
      </c>
      <c r="F31" s="239" t="s">
        <v>534</v>
      </c>
      <c r="G31" s="230">
        <v>6</v>
      </c>
      <c r="H31" s="227" t="s">
        <v>611</v>
      </c>
      <c r="I31" s="227" t="s">
        <v>612</v>
      </c>
      <c r="J31" s="227" t="s">
        <v>613</v>
      </c>
      <c r="K31" s="231"/>
      <c r="L31" s="240">
        <v>3056</v>
      </c>
      <c r="M31" s="239">
        <v>35</v>
      </c>
      <c r="N31" s="239" t="s">
        <v>606</v>
      </c>
      <c r="O31" s="239" t="s">
        <v>607</v>
      </c>
      <c r="P31" s="239" t="s">
        <v>560</v>
      </c>
      <c r="Q31" s="570"/>
      <c r="R31" s="570"/>
      <c r="S31" s="231"/>
      <c r="T31" s="231"/>
    </row>
    <row r="32" spans="1:20" s="233" customFormat="1" ht="66.75" customHeight="1">
      <c r="A32" s="226">
        <v>22</v>
      </c>
      <c r="B32" s="227" t="s">
        <v>532</v>
      </c>
      <c r="C32" s="227" t="s">
        <v>614</v>
      </c>
      <c r="D32" s="230">
        <v>35</v>
      </c>
      <c r="E32" s="238">
        <v>6.3</v>
      </c>
      <c r="F32" s="239" t="s">
        <v>615</v>
      </c>
      <c r="G32" s="230">
        <v>35</v>
      </c>
      <c r="H32" s="227" t="s">
        <v>616</v>
      </c>
      <c r="I32" s="227" t="s">
        <v>617</v>
      </c>
      <c r="J32" s="227" t="s">
        <v>618</v>
      </c>
      <c r="K32" s="231"/>
      <c r="L32" s="238">
        <v>430</v>
      </c>
      <c r="M32" s="239">
        <v>35</v>
      </c>
      <c r="N32" s="239" t="s">
        <v>606</v>
      </c>
      <c r="O32" s="239" t="s">
        <v>607</v>
      </c>
      <c r="P32" s="239" t="s">
        <v>560</v>
      </c>
      <c r="Q32" s="239" t="s">
        <v>619</v>
      </c>
      <c r="R32" s="570" t="s">
        <v>620</v>
      </c>
      <c r="S32" s="231"/>
      <c r="T32" s="231"/>
    </row>
    <row r="33" spans="1:20" s="233" customFormat="1" ht="94.5">
      <c r="A33" s="226">
        <v>23</v>
      </c>
      <c r="B33" s="227" t="s">
        <v>532</v>
      </c>
      <c r="C33" s="227" t="s">
        <v>621</v>
      </c>
      <c r="D33" s="230">
        <v>35</v>
      </c>
      <c r="E33" s="238">
        <v>6.3</v>
      </c>
      <c r="F33" s="239" t="s">
        <v>615</v>
      </c>
      <c r="G33" s="230">
        <v>35</v>
      </c>
      <c r="H33" s="227" t="s">
        <v>616</v>
      </c>
      <c r="I33" s="227" t="s">
        <v>617</v>
      </c>
      <c r="J33" s="227" t="s">
        <v>622</v>
      </c>
      <c r="K33" s="231"/>
      <c r="L33" s="238">
        <v>509</v>
      </c>
      <c r="M33" s="239">
        <v>35</v>
      </c>
      <c r="N33" s="239" t="s">
        <v>606</v>
      </c>
      <c r="O33" s="239" t="s">
        <v>607</v>
      </c>
      <c r="P33" s="239" t="s">
        <v>560</v>
      </c>
      <c r="Q33" s="239" t="s">
        <v>623</v>
      </c>
      <c r="R33" s="570"/>
      <c r="S33" s="231"/>
      <c r="T33" s="231"/>
    </row>
    <row r="34" spans="1:20" s="233" customFormat="1" ht="47.25">
      <c r="A34" s="226">
        <v>24</v>
      </c>
      <c r="B34" s="227" t="s">
        <v>532</v>
      </c>
      <c r="C34" s="227" t="s">
        <v>624</v>
      </c>
      <c r="D34" s="230">
        <v>35</v>
      </c>
      <c r="E34" s="574">
        <v>2.5</v>
      </c>
      <c r="F34" s="570" t="s">
        <v>534</v>
      </c>
      <c r="G34" s="230">
        <v>6</v>
      </c>
      <c r="H34" s="227" t="s">
        <v>625</v>
      </c>
      <c r="I34" s="227" t="s">
        <v>626</v>
      </c>
      <c r="J34" s="227" t="s">
        <v>565</v>
      </c>
      <c r="K34" s="231"/>
      <c r="L34" s="575">
        <v>9760</v>
      </c>
      <c r="M34" s="570">
        <v>35</v>
      </c>
      <c r="N34" s="570" t="s">
        <v>627</v>
      </c>
      <c r="O34" s="570" t="s">
        <v>628</v>
      </c>
      <c r="P34" s="570" t="s">
        <v>629</v>
      </c>
      <c r="Q34" s="570" t="s">
        <v>630</v>
      </c>
      <c r="R34" s="570" t="s">
        <v>620</v>
      </c>
      <c r="S34" s="231"/>
      <c r="T34" s="231"/>
    </row>
    <row r="35" spans="1:20" s="233" customFormat="1" ht="47.25">
      <c r="A35" s="226">
        <v>25</v>
      </c>
      <c r="B35" s="227" t="s">
        <v>532</v>
      </c>
      <c r="C35" s="227" t="s">
        <v>631</v>
      </c>
      <c r="D35" s="230">
        <v>35</v>
      </c>
      <c r="E35" s="574"/>
      <c r="F35" s="570"/>
      <c r="G35" s="230">
        <v>0.4</v>
      </c>
      <c r="H35" s="227" t="s">
        <v>632</v>
      </c>
      <c r="I35" s="227" t="s">
        <v>632</v>
      </c>
      <c r="J35" s="227" t="s">
        <v>633</v>
      </c>
      <c r="K35" s="231"/>
      <c r="L35" s="575"/>
      <c r="M35" s="570"/>
      <c r="N35" s="570"/>
      <c r="O35" s="570"/>
      <c r="P35" s="570"/>
      <c r="Q35" s="570"/>
      <c r="R35" s="570"/>
      <c r="S35" s="231"/>
      <c r="T35" s="231"/>
    </row>
    <row r="36" spans="1:20" s="233" customFormat="1" ht="47.25">
      <c r="A36" s="226">
        <v>26</v>
      </c>
      <c r="B36" s="227" t="s">
        <v>532</v>
      </c>
      <c r="C36" s="227" t="s">
        <v>634</v>
      </c>
      <c r="D36" s="574">
        <v>35</v>
      </c>
      <c r="E36" s="574">
        <v>6.3</v>
      </c>
      <c r="F36" s="570" t="s">
        <v>534</v>
      </c>
      <c r="G36" s="230">
        <v>6</v>
      </c>
      <c r="H36" s="227" t="s">
        <v>635</v>
      </c>
      <c r="I36" s="227" t="s">
        <v>636</v>
      </c>
      <c r="J36" s="227" t="s">
        <v>637</v>
      </c>
      <c r="K36" s="231"/>
      <c r="L36" s="575">
        <v>14812</v>
      </c>
      <c r="M36" s="570">
        <v>35</v>
      </c>
      <c r="N36" s="570" t="s">
        <v>638</v>
      </c>
      <c r="O36" s="570" t="s">
        <v>628</v>
      </c>
      <c r="P36" s="570" t="s">
        <v>629</v>
      </c>
      <c r="Q36" s="570" t="s">
        <v>639</v>
      </c>
      <c r="R36" s="570" t="s">
        <v>640</v>
      </c>
      <c r="S36" s="231"/>
      <c r="T36" s="231"/>
    </row>
    <row r="37" spans="1:20" s="233" customFormat="1" ht="47.25">
      <c r="A37" s="226">
        <v>27</v>
      </c>
      <c r="B37" s="227" t="s">
        <v>532</v>
      </c>
      <c r="C37" s="227" t="s">
        <v>641</v>
      </c>
      <c r="D37" s="574"/>
      <c r="E37" s="574"/>
      <c r="F37" s="570"/>
      <c r="G37" s="230">
        <v>0.4</v>
      </c>
      <c r="H37" s="227" t="s">
        <v>642</v>
      </c>
      <c r="I37" s="227" t="s">
        <v>632</v>
      </c>
      <c r="J37" s="227" t="s">
        <v>643</v>
      </c>
      <c r="K37" s="231"/>
      <c r="L37" s="575"/>
      <c r="M37" s="570"/>
      <c r="N37" s="570"/>
      <c r="O37" s="570"/>
      <c r="P37" s="570"/>
      <c r="Q37" s="570"/>
      <c r="R37" s="570"/>
      <c r="S37" s="231"/>
      <c r="T37" s="231"/>
    </row>
    <row r="38" spans="1:20" s="233" customFormat="1" ht="47.25">
      <c r="A38" s="226">
        <v>28</v>
      </c>
      <c r="B38" s="227" t="s">
        <v>532</v>
      </c>
      <c r="C38" s="227" t="s">
        <v>644</v>
      </c>
      <c r="D38" s="574">
        <v>35</v>
      </c>
      <c r="E38" s="574">
        <v>6.3</v>
      </c>
      <c r="F38" s="570" t="s">
        <v>534</v>
      </c>
      <c r="G38" s="230">
        <v>6</v>
      </c>
      <c r="H38" s="227" t="s">
        <v>645</v>
      </c>
      <c r="I38" s="227" t="s">
        <v>646</v>
      </c>
      <c r="J38" s="227" t="s">
        <v>637</v>
      </c>
      <c r="K38" s="231"/>
      <c r="L38" s="575">
        <v>13821</v>
      </c>
      <c r="M38" s="570">
        <v>35</v>
      </c>
      <c r="N38" s="570" t="s">
        <v>647</v>
      </c>
      <c r="O38" s="570" t="s">
        <v>628</v>
      </c>
      <c r="P38" s="570" t="s">
        <v>629</v>
      </c>
      <c r="Q38" s="570" t="s">
        <v>648</v>
      </c>
      <c r="R38" s="570"/>
      <c r="S38" s="231"/>
      <c r="T38" s="231"/>
    </row>
    <row r="39" spans="1:20" s="233" customFormat="1" ht="47.25">
      <c r="A39" s="226">
        <v>29</v>
      </c>
      <c r="B39" s="227" t="s">
        <v>532</v>
      </c>
      <c r="C39" s="227" t="s">
        <v>649</v>
      </c>
      <c r="D39" s="574"/>
      <c r="E39" s="574"/>
      <c r="F39" s="570"/>
      <c r="G39" s="230">
        <v>0.4</v>
      </c>
      <c r="H39" s="227" t="s">
        <v>642</v>
      </c>
      <c r="I39" s="227" t="s">
        <v>632</v>
      </c>
      <c r="J39" s="227" t="s">
        <v>650</v>
      </c>
      <c r="K39" s="231"/>
      <c r="L39" s="575"/>
      <c r="M39" s="570"/>
      <c r="N39" s="570"/>
      <c r="O39" s="570"/>
      <c r="P39" s="570"/>
      <c r="Q39" s="570"/>
      <c r="R39" s="570"/>
      <c r="S39" s="231"/>
      <c r="T39" s="231"/>
    </row>
    <row r="40" spans="1:20" s="233" customFormat="1" ht="47.25">
      <c r="A40" s="226">
        <v>30</v>
      </c>
      <c r="B40" s="227" t="s">
        <v>532</v>
      </c>
      <c r="C40" s="227" t="s">
        <v>651</v>
      </c>
      <c r="D40" s="574">
        <v>35</v>
      </c>
      <c r="E40" s="574">
        <v>1.8</v>
      </c>
      <c r="F40" s="570" t="s">
        <v>534</v>
      </c>
      <c r="G40" s="230">
        <v>6</v>
      </c>
      <c r="H40" s="227" t="s">
        <v>652</v>
      </c>
      <c r="I40" s="227" t="s">
        <v>653</v>
      </c>
      <c r="J40" s="227" t="s">
        <v>637</v>
      </c>
      <c r="K40" s="231"/>
      <c r="L40" s="575">
        <v>2741</v>
      </c>
      <c r="M40" s="570">
        <v>35</v>
      </c>
      <c r="N40" s="570" t="s">
        <v>654</v>
      </c>
      <c r="O40" s="570" t="s">
        <v>628</v>
      </c>
      <c r="P40" s="570" t="s">
        <v>629</v>
      </c>
      <c r="Q40" s="570" t="s">
        <v>655</v>
      </c>
      <c r="R40" s="570" t="s">
        <v>656</v>
      </c>
      <c r="S40" s="231"/>
      <c r="T40" s="231"/>
    </row>
    <row r="41" spans="1:20" s="233" customFormat="1" ht="47.25">
      <c r="A41" s="226">
        <v>31</v>
      </c>
      <c r="B41" s="227" t="s">
        <v>532</v>
      </c>
      <c r="C41" s="227" t="s">
        <v>657</v>
      </c>
      <c r="D41" s="574"/>
      <c r="E41" s="574"/>
      <c r="F41" s="570"/>
      <c r="G41" s="230">
        <v>0.4</v>
      </c>
      <c r="H41" s="227" t="s">
        <v>632</v>
      </c>
      <c r="I41" s="227" t="s">
        <v>632</v>
      </c>
      <c r="J41" s="227" t="s">
        <v>658</v>
      </c>
      <c r="K41" s="231"/>
      <c r="L41" s="575"/>
      <c r="M41" s="570"/>
      <c r="N41" s="570"/>
      <c r="O41" s="570"/>
      <c r="P41" s="570"/>
      <c r="Q41" s="570"/>
      <c r="R41" s="570"/>
      <c r="S41" s="231"/>
      <c r="T41" s="231"/>
    </row>
    <row r="42" spans="1:20" s="233" customFormat="1" ht="47.25">
      <c r="A42" s="226">
        <v>32</v>
      </c>
      <c r="B42" s="227" t="s">
        <v>532</v>
      </c>
      <c r="C42" s="227" t="s">
        <v>659</v>
      </c>
      <c r="D42" s="574">
        <v>35</v>
      </c>
      <c r="E42" s="574">
        <v>4</v>
      </c>
      <c r="F42" s="570" t="s">
        <v>534</v>
      </c>
      <c r="G42" s="230">
        <v>6</v>
      </c>
      <c r="H42" s="227" t="s">
        <v>660</v>
      </c>
      <c r="I42" s="227" t="s">
        <v>661</v>
      </c>
      <c r="J42" s="227" t="s">
        <v>637</v>
      </c>
      <c r="K42" s="231"/>
      <c r="L42" s="575">
        <v>1950</v>
      </c>
      <c r="M42" s="570">
        <v>35</v>
      </c>
      <c r="N42" s="570" t="s">
        <v>662</v>
      </c>
      <c r="O42" s="570" t="s">
        <v>628</v>
      </c>
      <c r="P42" s="570" t="s">
        <v>629</v>
      </c>
      <c r="Q42" s="570" t="s">
        <v>663</v>
      </c>
      <c r="R42" s="570" t="s">
        <v>640</v>
      </c>
      <c r="S42" s="231"/>
      <c r="T42" s="231"/>
    </row>
    <row r="43" spans="1:20" s="233" customFormat="1" ht="47.25">
      <c r="A43" s="226">
        <v>33</v>
      </c>
      <c r="B43" s="227" t="s">
        <v>532</v>
      </c>
      <c r="C43" s="227" t="s">
        <v>664</v>
      </c>
      <c r="D43" s="574"/>
      <c r="E43" s="574"/>
      <c r="F43" s="570"/>
      <c r="G43" s="230">
        <v>0.4</v>
      </c>
      <c r="H43" s="227" t="s">
        <v>632</v>
      </c>
      <c r="I43" s="227" t="s">
        <v>632</v>
      </c>
      <c r="J43" s="227" t="s">
        <v>633</v>
      </c>
      <c r="K43" s="231"/>
      <c r="L43" s="575"/>
      <c r="M43" s="570"/>
      <c r="N43" s="570"/>
      <c r="O43" s="570"/>
      <c r="P43" s="570"/>
      <c r="Q43" s="570"/>
      <c r="R43" s="570"/>
      <c r="S43" s="231"/>
      <c r="T43" s="231"/>
    </row>
    <row r="44" spans="1:20" s="233" customFormat="1" ht="47.25">
      <c r="A44" s="226">
        <v>34</v>
      </c>
      <c r="B44" s="227" t="s">
        <v>532</v>
      </c>
      <c r="C44" s="227" t="s">
        <v>665</v>
      </c>
      <c r="D44" s="574">
        <v>35</v>
      </c>
      <c r="E44" s="574">
        <v>4</v>
      </c>
      <c r="F44" s="570" t="s">
        <v>534</v>
      </c>
      <c r="G44" s="230">
        <v>6</v>
      </c>
      <c r="H44" s="227" t="s">
        <v>666</v>
      </c>
      <c r="I44" s="227" t="s">
        <v>661</v>
      </c>
      <c r="J44" s="227" t="s">
        <v>637</v>
      </c>
      <c r="K44" s="231"/>
      <c r="L44" s="575">
        <v>2424</v>
      </c>
      <c r="M44" s="570">
        <v>35</v>
      </c>
      <c r="N44" s="570" t="s">
        <v>662</v>
      </c>
      <c r="O44" s="570" t="s">
        <v>628</v>
      </c>
      <c r="P44" s="570" t="s">
        <v>629</v>
      </c>
      <c r="Q44" s="570" t="s">
        <v>667</v>
      </c>
      <c r="R44" s="570"/>
      <c r="S44" s="231"/>
      <c r="T44" s="231"/>
    </row>
    <row r="45" spans="1:20" s="233" customFormat="1" ht="47.25">
      <c r="A45" s="226">
        <v>35</v>
      </c>
      <c r="B45" s="227" t="s">
        <v>532</v>
      </c>
      <c r="C45" s="227" t="s">
        <v>668</v>
      </c>
      <c r="D45" s="574"/>
      <c r="E45" s="574"/>
      <c r="F45" s="570"/>
      <c r="G45" s="230">
        <v>0.4</v>
      </c>
      <c r="H45" s="227" t="s">
        <v>632</v>
      </c>
      <c r="I45" s="227" t="s">
        <v>632</v>
      </c>
      <c r="J45" s="227" t="s">
        <v>633</v>
      </c>
      <c r="K45" s="231"/>
      <c r="L45" s="575"/>
      <c r="M45" s="570"/>
      <c r="N45" s="570"/>
      <c r="O45" s="570"/>
      <c r="P45" s="570"/>
      <c r="Q45" s="570"/>
      <c r="R45" s="570"/>
      <c r="S45" s="231"/>
      <c r="T45" s="231"/>
    </row>
    <row r="46" spans="1:20" s="233" customFormat="1" ht="78.75">
      <c r="A46" s="226">
        <v>36</v>
      </c>
      <c r="B46" s="227" t="s">
        <v>532</v>
      </c>
      <c r="C46" s="227" t="s">
        <v>669</v>
      </c>
      <c r="D46" s="230">
        <v>35</v>
      </c>
      <c r="E46" s="238">
        <v>4</v>
      </c>
      <c r="F46" s="239" t="s">
        <v>534</v>
      </c>
      <c r="G46" s="239">
        <v>6</v>
      </c>
      <c r="H46" s="239" t="s">
        <v>670</v>
      </c>
      <c r="I46" s="239" t="s">
        <v>671</v>
      </c>
      <c r="J46" s="239" t="s">
        <v>672</v>
      </c>
      <c r="K46" s="231"/>
      <c r="L46" s="240">
        <v>4251</v>
      </c>
      <c r="M46" s="239">
        <v>35</v>
      </c>
      <c r="N46" s="239" t="s">
        <v>673</v>
      </c>
      <c r="O46" s="239" t="s">
        <v>607</v>
      </c>
      <c r="P46" s="239" t="s">
        <v>560</v>
      </c>
      <c r="Q46" s="234" t="s">
        <v>674</v>
      </c>
      <c r="R46" s="570" t="s">
        <v>620</v>
      </c>
      <c r="S46" s="231"/>
      <c r="T46" s="231"/>
    </row>
    <row r="47" spans="1:20" s="233" customFormat="1" ht="78.75">
      <c r="A47" s="226">
        <v>37</v>
      </c>
      <c r="B47" s="227" t="s">
        <v>532</v>
      </c>
      <c r="C47" s="227" t="s">
        <v>675</v>
      </c>
      <c r="D47" s="230">
        <v>35</v>
      </c>
      <c r="E47" s="238">
        <v>4</v>
      </c>
      <c r="F47" s="239" t="s">
        <v>534</v>
      </c>
      <c r="G47" s="239">
        <v>6</v>
      </c>
      <c r="H47" s="239" t="s">
        <v>670</v>
      </c>
      <c r="I47" s="239" t="s">
        <v>676</v>
      </c>
      <c r="J47" s="239" t="s">
        <v>677</v>
      </c>
      <c r="K47" s="231"/>
      <c r="L47" s="240">
        <v>1824</v>
      </c>
      <c r="M47" s="239">
        <v>35</v>
      </c>
      <c r="N47" s="239" t="s">
        <v>673</v>
      </c>
      <c r="O47" s="239" t="s">
        <v>607</v>
      </c>
      <c r="P47" s="239" t="s">
        <v>560</v>
      </c>
      <c r="Q47" s="234" t="s">
        <v>678</v>
      </c>
      <c r="R47" s="570"/>
      <c r="S47" s="231"/>
      <c r="T47" s="231"/>
    </row>
    <row r="48" spans="1:20" s="233" customFormat="1" ht="78.75">
      <c r="A48" s="226">
        <v>38</v>
      </c>
      <c r="B48" s="227" t="s">
        <v>532</v>
      </c>
      <c r="C48" s="227" t="s">
        <v>679</v>
      </c>
      <c r="D48" s="230">
        <v>35</v>
      </c>
      <c r="E48" s="238">
        <v>10</v>
      </c>
      <c r="F48" s="239" t="s">
        <v>534</v>
      </c>
      <c r="G48" s="239">
        <v>6</v>
      </c>
      <c r="H48" s="239" t="s">
        <v>680</v>
      </c>
      <c r="I48" s="239" t="s">
        <v>681</v>
      </c>
      <c r="J48" s="239" t="s">
        <v>682</v>
      </c>
      <c r="K48" s="231"/>
      <c r="L48" s="240">
        <v>2022</v>
      </c>
      <c r="M48" s="239">
        <v>35</v>
      </c>
      <c r="N48" s="239" t="s">
        <v>683</v>
      </c>
      <c r="O48" s="239" t="s">
        <v>607</v>
      </c>
      <c r="P48" s="239" t="s">
        <v>560</v>
      </c>
      <c r="Q48" s="239" t="s">
        <v>684</v>
      </c>
      <c r="R48" s="570" t="s">
        <v>620</v>
      </c>
      <c r="S48" s="231"/>
      <c r="T48" s="231"/>
    </row>
    <row r="49" spans="1:20" s="233" customFormat="1" ht="78.75">
      <c r="A49" s="226">
        <v>39</v>
      </c>
      <c r="B49" s="227" t="s">
        <v>532</v>
      </c>
      <c r="C49" s="227" t="s">
        <v>685</v>
      </c>
      <c r="D49" s="230">
        <v>35</v>
      </c>
      <c r="E49" s="238">
        <v>10</v>
      </c>
      <c r="F49" s="239" t="s">
        <v>534</v>
      </c>
      <c r="G49" s="239">
        <v>6</v>
      </c>
      <c r="H49" s="239" t="s">
        <v>686</v>
      </c>
      <c r="I49" s="239" t="s">
        <v>687</v>
      </c>
      <c r="J49" s="239" t="s">
        <v>592</v>
      </c>
      <c r="K49" s="231"/>
      <c r="L49" s="240">
        <v>125</v>
      </c>
      <c r="M49" s="239">
        <v>35</v>
      </c>
      <c r="N49" s="239" t="s">
        <v>683</v>
      </c>
      <c r="O49" s="239" t="s">
        <v>607</v>
      </c>
      <c r="P49" s="239" t="s">
        <v>560</v>
      </c>
      <c r="Q49" s="239" t="s">
        <v>688</v>
      </c>
      <c r="R49" s="570"/>
      <c r="S49" s="231"/>
      <c r="T49" s="231"/>
    </row>
    <row r="50" spans="1:20" ht="47.25">
      <c r="A50" s="226">
        <v>40</v>
      </c>
      <c r="B50" s="227" t="s">
        <v>532</v>
      </c>
      <c r="C50" s="227" t="s">
        <v>689</v>
      </c>
      <c r="D50" s="574">
        <v>35</v>
      </c>
      <c r="E50" s="574">
        <v>10</v>
      </c>
      <c r="F50" s="570" t="s">
        <v>534</v>
      </c>
      <c r="G50" s="239">
        <v>10</v>
      </c>
      <c r="H50" s="239" t="s">
        <v>690</v>
      </c>
      <c r="I50" s="239" t="s">
        <v>691</v>
      </c>
      <c r="J50" s="239" t="s">
        <v>592</v>
      </c>
      <c r="K50" s="231"/>
      <c r="L50" s="575">
        <v>5841</v>
      </c>
      <c r="M50" s="570">
        <v>35</v>
      </c>
      <c r="N50" s="570" t="s">
        <v>692</v>
      </c>
      <c r="O50" s="570" t="s">
        <v>628</v>
      </c>
      <c r="P50" s="570" t="s">
        <v>693</v>
      </c>
      <c r="Q50" s="570" t="s">
        <v>694</v>
      </c>
      <c r="R50" s="570" t="s">
        <v>640</v>
      </c>
      <c r="S50" s="231"/>
      <c r="T50" s="231"/>
    </row>
    <row r="51" spans="1:20" ht="47.25">
      <c r="A51" s="226">
        <v>41</v>
      </c>
      <c r="B51" s="227" t="s">
        <v>532</v>
      </c>
      <c r="C51" s="227" t="s">
        <v>695</v>
      </c>
      <c r="D51" s="574"/>
      <c r="E51" s="574"/>
      <c r="F51" s="570"/>
      <c r="G51" s="239">
        <v>0.4</v>
      </c>
      <c r="H51" s="239" t="s">
        <v>632</v>
      </c>
      <c r="I51" s="239" t="s">
        <v>632</v>
      </c>
      <c r="J51" s="239" t="s">
        <v>696</v>
      </c>
      <c r="K51" s="231"/>
      <c r="L51" s="575"/>
      <c r="M51" s="570"/>
      <c r="N51" s="570"/>
      <c r="O51" s="570"/>
      <c r="P51" s="570"/>
      <c r="Q51" s="570"/>
      <c r="R51" s="570"/>
      <c r="S51" s="231"/>
      <c r="T51" s="231"/>
    </row>
    <row r="52" spans="1:20" ht="47.25">
      <c r="A52" s="226">
        <v>42</v>
      </c>
      <c r="B52" s="227" t="s">
        <v>532</v>
      </c>
      <c r="C52" s="227" t="s">
        <v>697</v>
      </c>
      <c r="D52" s="574">
        <v>35</v>
      </c>
      <c r="E52" s="574">
        <v>10</v>
      </c>
      <c r="F52" s="570" t="s">
        <v>534</v>
      </c>
      <c r="G52" s="239">
        <v>10</v>
      </c>
      <c r="H52" s="239" t="s">
        <v>690</v>
      </c>
      <c r="I52" s="239" t="s">
        <v>691</v>
      </c>
      <c r="J52" s="239" t="s">
        <v>592</v>
      </c>
      <c r="K52" s="231"/>
      <c r="L52" s="575">
        <v>8995</v>
      </c>
      <c r="M52" s="570">
        <v>35</v>
      </c>
      <c r="N52" s="570" t="s">
        <v>692</v>
      </c>
      <c r="O52" s="570" t="s">
        <v>628</v>
      </c>
      <c r="P52" s="570" t="s">
        <v>693</v>
      </c>
      <c r="Q52" s="570" t="s">
        <v>698</v>
      </c>
      <c r="R52" s="570"/>
      <c r="S52" s="231"/>
      <c r="T52" s="231"/>
    </row>
    <row r="53" spans="1:20" ht="47.25">
      <c r="A53" s="226">
        <v>43</v>
      </c>
      <c r="B53" s="227" t="s">
        <v>532</v>
      </c>
      <c r="C53" s="227" t="s">
        <v>699</v>
      </c>
      <c r="D53" s="574">
        <v>35</v>
      </c>
      <c r="E53" s="574"/>
      <c r="F53" s="570"/>
      <c r="G53" s="239">
        <v>0.4</v>
      </c>
      <c r="H53" s="239" t="s">
        <v>632</v>
      </c>
      <c r="I53" s="239" t="s">
        <v>632</v>
      </c>
      <c r="J53" s="239" t="s">
        <v>696</v>
      </c>
      <c r="K53" s="231"/>
      <c r="L53" s="575"/>
      <c r="M53" s="570"/>
      <c r="N53" s="570"/>
      <c r="O53" s="570"/>
      <c r="P53" s="570"/>
      <c r="Q53" s="570"/>
      <c r="R53" s="570"/>
      <c r="S53" s="231"/>
      <c r="T53" s="231"/>
    </row>
    <row r="54" spans="1:20" ht="47.25">
      <c r="A54" s="226">
        <v>44</v>
      </c>
      <c r="B54" s="227" t="s">
        <v>532</v>
      </c>
      <c r="C54" s="227" t="s">
        <v>700</v>
      </c>
      <c r="D54" s="574">
        <v>35</v>
      </c>
      <c r="E54" s="574">
        <v>4</v>
      </c>
      <c r="F54" s="570" t="s">
        <v>534</v>
      </c>
      <c r="G54" s="239">
        <v>6</v>
      </c>
      <c r="H54" s="239" t="s">
        <v>701</v>
      </c>
      <c r="I54" s="239" t="s">
        <v>702</v>
      </c>
      <c r="J54" s="239" t="s">
        <v>703</v>
      </c>
      <c r="K54" s="231"/>
      <c r="L54" s="575">
        <v>1353</v>
      </c>
      <c r="M54" s="570">
        <v>35</v>
      </c>
      <c r="N54" s="570" t="s">
        <v>692</v>
      </c>
      <c r="O54" s="570" t="s">
        <v>628</v>
      </c>
      <c r="P54" s="570" t="s">
        <v>693</v>
      </c>
      <c r="Q54" s="570" t="s">
        <v>704</v>
      </c>
      <c r="R54" s="570" t="s">
        <v>705</v>
      </c>
      <c r="S54" s="231"/>
      <c r="T54" s="231"/>
    </row>
    <row r="55" spans="1:20" ht="47.25">
      <c r="A55" s="226">
        <v>45</v>
      </c>
      <c r="B55" s="227" t="s">
        <v>532</v>
      </c>
      <c r="C55" s="227" t="s">
        <v>706</v>
      </c>
      <c r="D55" s="574"/>
      <c r="E55" s="574"/>
      <c r="F55" s="570"/>
      <c r="G55" s="239">
        <v>0.4</v>
      </c>
      <c r="H55" s="239" t="s">
        <v>632</v>
      </c>
      <c r="I55" s="239" t="s">
        <v>632</v>
      </c>
      <c r="J55" s="239" t="s">
        <v>696</v>
      </c>
      <c r="K55" s="231"/>
      <c r="L55" s="575"/>
      <c r="M55" s="570"/>
      <c r="N55" s="570"/>
      <c r="O55" s="570"/>
      <c r="P55" s="570"/>
      <c r="Q55" s="570"/>
      <c r="R55" s="570"/>
      <c r="S55" s="231"/>
      <c r="T55" s="231"/>
    </row>
    <row r="56" spans="1:20" ht="47.25">
      <c r="A56" s="226">
        <v>46</v>
      </c>
      <c r="B56" s="227" t="s">
        <v>532</v>
      </c>
      <c r="C56" s="227" t="s">
        <v>707</v>
      </c>
      <c r="D56" s="574">
        <v>35</v>
      </c>
      <c r="E56" s="574">
        <v>4</v>
      </c>
      <c r="F56" s="570" t="s">
        <v>534</v>
      </c>
      <c r="G56" s="239">
        <v>6</v>
      </c>
      <c r="H56" s="239" t="s">
        <v>701</v>
      </c>
      <c r="I56" s="239" t="s">
        <v>702</v>
      </c>
      <c r="J56" s="239" t="s">
        <v>703</v>
      </c>
      <c r="K56" s="231"/>
      <c r="L56" s="575">
        <v>1035</v>
      </c>
      <c r="M56" s="570">
        <v>35</v>
      </c>
      <c r="N56" s="570" t="s">
        <v>708</v>
      </c>
      <c r="O56" s="570" t="s">
        <v>628</v>
      </c>
      <c r="P56" s="570" t="s">
        <v>693</v>
      </c>
      <c r="Q56" s="570" t="s">
        <v>709</v>
      </c>
      <c r="R56" s="570"/>
      <c r="S56" s="231"/>
      <c r="T56" s="231"/>
    </row>
    <row r="57" spans="1:20" ht="47.25">
      <c r="A57" s="226">
        <v>47</v>
      </c>
      <c r="B57" s="227" t="s">
        <v>532</v>
      </c>
      <c r="C57" s="227" t="s">
        <v>710</v>
      </c>
      <c r="D57" s="574"/>
      <c r="E57" s="574"/>
      <c r="F57" s="570"/>
      <c r="G57" s="239">
        <v>0.4</v>
      </c>
      <c r="H57" s="239" t="s">
        <v>632</v>
      </c>
      <c r="I57" s="239" t="s">
        <v>632</v>
      </c>
      <c r="J57" s="239" t="s">
        <v>696</v>
      </c>
      <c r="K57" s="231"/>
      <c r="L57" s="575"/>
      <c r="M57" s="570"/>
      <c r="N57" s="570"/>
      <c r="O57" s="570"/>
      <c r="P57" s="570"/>
      <c r="Q57" s="570"/>
      <c r="R57" s="570"/>
      <c r="S57" s="231"/>
      <c r="T57" s="231"/>
    </row>
    <row r="261" spans="7:7">
      <c r="G261" s="219" t="s">
        <v>711</v>
      </c>
    </row>
  </sheetData>
  <mergeCells count="189">
    <mergeCell ref="R54:R57"/>
    <mergeCell ref="D56:D57"/>
    <mergeCell ref="E56:E57"/>
    <mergeCell ref="F56:F57"/>
    <mergeCell ref="L56:L57"/>
    <mergeCell ref="M56:M57"/>
    <mergeCell ref="N56:N57"/>
    <mergeCell ref="O56:O57"/>
    <mergeCell ref="P56:P57"/>
    <mergeCell ref="D54:D55"/>
    <mergeCell ref="E54:E55"/>
    <mergeCell ref="F54:F55"/>
    <mergeCell ref="L54:L55"/>
    <mergeCell ref="M54:M55"/>
    <mergeCell ref="N54:N55"/>
    <mergeCell ref="O54:O55"/>
    <mergeCell ref="P54:P55"/>
    <mergeCell ref="Q56:Q57"/>
    <mergeCell ref="Q54:Q55"/>
    <mergeCell ref="R46:R47"/>
    <mergeCell ref="R48:R49"/>
    <mergeCell ref="D50:D51"/>
    <mergeCell ref="E50:E51"/>
    <mergeCell ref="F50:F51"/>
    <mergeCell ref="L50:L51"/>
    <mergeCell ref="M50:M51"/>
    <mergeCell ref="N50:N51"/>
    <mergeCell ref="O50:O51"/>
    <mergeCell ref="P50:P51"/>
    <mergeCell ref="Q50:Q51"/>
    <mergeCell ref="R50:R53"/>
    <mergeCell ref="D52:D53"/>
    <mergeCell ref="E52:E53"/>
    <mergeCell ref="F52:F53"/>
    <mergeCell ref="L52:L53"/>
    <mergeCell ref="M52:M53"/>
    <mergeCell ref="N52:N53"/>
    <mergeCell ref="O52:O53"/>
    <mergeCell ref="P52:P53"/>
    <mergeCell ref="Q52:Q53"/>
    <mergeCell ref="R40:R41"/>
    <mergeCell ref="D42:D43"/>
    <mergeCell ref="E42:E43"/>
    <mergeCell ref="F42:F43"/>
    <mergeCell ref="L42:L43"/>
    <mergeCell ref="M42:M43"/>
    <mergeCell ref="N42:N43"/>
    <mergeCell ref="O42:O43"/>
    <mergeCell ref="P42:P43"/>
    <mergeCell ref="Q42:Q43"/>
    <mergeCell ref="R42:R45"/>
    <mergeCell ref="D44:D45"/>
    <mergeCell ref="E44:E45"/>
    <mergeCell ref="F44:F45"/>
    <mergeCell ref="L44:L45"/>
    <mergeCell ref="M44:M45"/>
    <mergeCell ref="N44:N45"/>
    <mergeCell ref="O44:O45"/>
    <mergeCell ref="P44:P45"/>
    <mergeCell ref="Q44:Q45"/>
    <mergeCell ref="D40:D41"/>
    <mergeCell ref="E40:E41"/>
    <mergeCell ref="F40:F41"/>
    <mergeCell ref="L40:L41"/>
    <mergeCell ref="M40:M41"/>
    <mergeCell ref="N40:N41"/>
    <mergeCell ref="O40:O41"/>
    <mergeCell ref="P40:P41"/>
    <mergeCell ref="Q40:Q41"/>
    <mergeCell ref="R36:R39"/>
    <mergeCell ref="D38:D39"/>
    <mergeCell ref="E38:E39"/>
    <mergeCell ref="F38:F39"/>
    <mergeCell ref="L38:L39"/>
    <mergeCell ref="M38:M39"/>
    <mergeCell ref="N38:N39"/>
    <mergeCell ref="O38:O39"/>
    <mergeCell ref="P38:P39"/>
    <mergeCell ref="Q38:Q39"/>
    <mergeCell ref="D36:D37"/>
    <mergeCell ref="E36:E37"/>
    <mergeCell ref="F36:F37"/>
    <mergeCell ref="L36:L37"/>
    <mergeCell ref="M36:M37"/>
    <mergeCell ref="N36:N37"/>
    <mergeCell ref="O36:O37"/>
    <mergeCell ref="P36:P37"/>
    <mergeCell ref="Q36:Q37"/>
    <mergeCell ref="Q30:Q31"/>
    <mergeCell ref="R30:R31"/>
    <mergeCell ref="R32:R33"/>
    <mergeCell ref="E34:E35"/>
    <mergeCell ref="F34:F35"/>
    <mergeCell ref="L34:L35"/>
    <mergeCell ref="M34:M35"/>
    <mergeCell ref="N34:N35"/>
    <mergeCell ref="O34:O35"/>
    <mergeCell ref="P34:P35"/>
    <mergeCell ref="Q34:Q35"/>
    <mergeCell ref="R34:R35"/>
    <mergeCell ref="E25:E26"/>
    <mergeCell ref="F25:F26"/>
    <mergeCell ref="L25:L26"/>
    <mergeCell ref="M25:M26"/>
    <mergeCell ref="N25:N26"/>
    <mergeCell ref="O25:O26"/>
    <mergeCell ref="P25:P26"/>
    <mergeCell ref="Q25:Q26"/>
    <mergeCell ref="R25:R28"/>
    <mergeCell ref="E27:E28"/>
    <mergeCell ref="F27:F28"/>
    <mergeCell ref="L27:L28"/>
    <mergeCell ref="M27:M28"/>
    <mergeCell ref="N27:N28"/>
    <mergeCell ref="O27:O28"/>
    <mergeCell ref="P27:P28"/>
    <mergeCell ref="Q27:Q28"/>
    <mergeCell ref="E20:E21"/>
    <mergeCell ref="F20:F21"/>
    <mergeCell ref="L20:L21"/>
    <mergeCell ref="M20:M21"/>
    <mergeCell ref="N20:N21"/>
    <mergeCell ref="O20:O21"/>
    <mergeCell ref="P20:P21"/>
    <mergeCell ref="Q20:Q21"/>
    <mergeCell ref="R20:R24"/>
    <mergeCell ref="E22:E24"/>
    <mergeCell ref="F22:F24"/>
    <mergeCell ref="L22:L24"/>
    <mergeCell ref="M22:M24"/>
    <mergeCell ref="N22:N24"/>
    <mergeCell ref="O22:O24"/>
    <mergeCell ref="P22:P24"/>
    <mergeCell ref="Q22:Q24"/>
    <mergeCell ref="P16:P17"/>
    <mergeCell ref="Q16:Q17"/>
    <mergeCell ref="R16:R19"/>
    <mergeCell ref="S16:S17"/>
    <mergeCell ref="T16:T19"/>
    <mergeCell ref="E18:E19"/>
    <mergeCell ref="F18:F19"/>
    <mergeCell ref="L18:L19"/>
    <mergeCell ref="M18:M19"/>
    <mergeCell ref="N18:N19"/>
    <mergeCell ref="E16:E17"/>
    <mergeCell ref="F16:F17"/>
    <mergeCell ref="L16:L17"/>
    <mergeCell ref="M16:M17"/>
    <mergeCell ref="N16:N17"/>
    <mergeCell ref="O16:O17"/>
    <mergeCell ref="O18:O19"/>
    <mergeCell ref="P18:P19"/>
    <mergeCell ref="Q18:Q19"/>
    <mergeCell ref="S18:S19"/>
    <mergeCell ref="S7:S8"/>
    <mergeCell ref="T7:T8"/>
    <mergeCell ref="E13:E15"/>
    <mergeCell ref="F13:F15"/>
    <mergeCell ref="L13:L15"/>
    <mergeCell ref="M13:M15"/>
    <mergeCell ref="N13:N15"/>
    <mergeCell ref="O13:O15"/>
    <mergeCell ref="O10:O12"/>
    <mergeCell ref="P10:P12"/>
    <mergeCell ref="Q10:Q12"/>
    <mergeCell ref="B9:C9"/>
    <mergeCell ref="E10:E12"/>
    <mergeCell ref="F10:F12"/>
    <mergeCell ref="L10:L12"/>
    <mergeCell ref="M10:M12"/>
    <mergeCell ref="N10:N12"/>
    <mergeCell ref="A3:T4"/>
    <mergeCell ref="M5:N5"/>
    <mergeCell ref="R5:T5"/>
    <mergeCell ref="A7:A8"/>
    <mergeCell ref="B7:B8"/>
    <mergeCell ref="C7:C8"/>
    <mergeCell ref="D7:D8"/>
    <mergeCell ref="E7:E8"/>
    <mergeCell ref="F7:K7"/>
    <mergeCell ref="L7:L8"/>
    <mergeCell ref="R10:R15"/>
    <mergeCell ref="S10:S12"/>
    <mergeCell ref="T10:T15"/>
    <mergeCell ref="P13:P15"/>
    <mergeCell ref="Q13:Q15"/>
    <mergeCell ref="S13:S15"/>
    <mergeCell ref="M7:Q7"/>
    <mergeCell ref="R7:R8"/>
  </mergeCells>
  <pageMargins left="0.78740157480314965" right="0.78740157480314965" top="0.98425196850393704" bottom="0.98425196850393704" header="0.51181102362204722" footer="0.51181102362204722"/>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4"/>
  <sheetViews>
    <sheetView zoomScale="70" zoomScaleNormal="70" workbookViewId="0">
      <pane xSplit="2" ySplit="4" topLeftCell="C26" activePane="bottomRight" state="frozen"/>
      <selection pane="topRight" activeCell="C1" sqref="C1"/>
      <selection pane="bottomLeft" activeCell="A5" sqref="A5"/>
      <selection pane="bottomRight" activeCell="R34" sqref="R34"/>
    </sheetView>
  </sheetViews>
  <sheetFormatPr defaultRowHeight="15"/>
  <cols>
    <col min="1" max="1" width="3.85546875" style="113" customWidth="1"/>
    <col min="2" max="2" width="25.140625" style="113" customWidth="1"/>
    <col min="3" max="3" width="11.42578125" style="111" customWidth="1"/>
    <col min="4" max="4" width="11.5703125" style="111" customWidth="1"/>
    <col min="5" max="5" width="10.140625" style="118" customWidth="1"/>
    <col min="6" max="6" width="11.5703125" style="118" customWidth="1"/>
    <col min="7" max="7" width="7.42578125" style="118" customWidth="1"/>
    <col min="8" max="8" width="7.5703125" style="118" customWidth="1"/>
    <col min="9" max="9" width="8.7109375" style="118" customWidth="1"/>
    <col min="10" max="11" width="6.7109375" style="118" customWidth="1"/>
    <col min="12" max="12" width="16.42578125" style="112" customWidth="1"/>
    <col min="13" max="13" width="14.140625" style="112" customWidth="1"/>
    <col min="14" max="16384" width="9.140625" style="113"/>
  </cols>
  <sheetData>
    <row r="1" spans="1:13" ht="56.25" customHeight="1">
      <c r="A1" s="496" t="s">
        <v>210</v>
      </c>
      <c r="B1" s="496"/>
      <c r="C1" s="496"/>
      <c r="D1" s="496"/>
      <c r="E1" s="496"/>
      <c r="F1" s="496"/>
      <c r="G1" s="496"/>
      <c r="H1" s="496"/>
      <c r="I1" s="496"/>
      <c r="J1" s="496"/>
      <c r="K1" s="496"/>
      <c r="L1" s="496"/>
    </row>
    <row r="2" spans="1:13" ht="63" customHeight="1">
      <c r="A2" s="497" t="s">
        <v>211</v>
      </c>
      <c r="B2" s="497" t="s">
        <v>212</v>
      </c>
      <c r="C2" s="497" t="s">
        <v>213</v>
      </c>
      <c r="D2" s="497" t="s">
        <v>405</v>
      </c>
      <c r="E2" s="495" t="s">
        <v>214</v>
      </c>
      <c r="F2" s="495"/>
      <c r="G2" s="500" t="s">
        <v>215</v>
      </c>
      <c r="H2" s="501"/>
      <c r="I2" s="501"/>
      <c r="J2" s="501"/>
      <c r="K2" s="502"/>
      <c r="L2" s="498" t="s">
        <v>216</v>
      </c>
      <c r="M2" s="495" t="s">
        <v>217</v>
      </c>
    </row>
    <row r="3" spans="1:13" ht="51" customHeight="1">
      <c r="A3" s="497"/>
      <c r="B3" s="497"/>
      <c r="C3" s="497"/>
      <c r="D3" s="497"/>
      <c r="E3" s="104" t="s">
        <v>218</v>
      </c>
      <c r="F3" s="104" t="s">
        <v>219</v>
      </c>
      <c r="G3" s="104">
        <v>2015</v>
      </c>
      <c r="H3" s="104">
        <v>2016</v>
      </c>
      <c r="I3" s="104">
        <v>2017</v>
      </c>
      <c r="J3" s="104">
        <v>2018</v>
      </c>
      <c r="K3" s="149">
        <v>2019</v>
      </c>
      <c r="L3" s="499"/>
      <c r="M3" s="495"/>
    </row>
    <row r="4" spans="1:13">
      <c r="A4" s="105">
        <v>1</v>
      </c>
      <c r="B4" s="105">
        <v>2</v>
      </c>
      <c r="C4" s="105">
        <v>3</v>
      </c>
      <c r="D4" s="105">
        <v>4</v>
      </c>
      <c r="E4" s="104">
        <v>5</v>
      </c>
      <c r="F4" s="104">
        <v>6</v>
      </c>
      <c r="G4" s="149">
        <v>7</v>
      </c>
      <c r="H4" s="149">
        <v>8</v>
      </c>
      <c r="I4" s="149">
        <v>9</v>
      </c>
      <c r="J4" s="149">
        <v>10</v>
      </c>
      <c r="K4" s="149">
        <v>11</v>
      </c>
      <c r="L4" s="149">
        <v>12</v>
      </c>
      <c r="M4" s="149">
        <v>13</v>
      </c>
    </row>
    <row r="5" spans="1:13" ht="65.25" customHeight="1">
      <c r="A5" s="68">
        <v>1</v>
      </c>
      <c r="B5" s="106" t="s">
        <v>220</v>
      </c>
      <c r="C5" s="68" t="s">
        <v>221</v>
      </c>
      <c r="D5" s="107" t="s">
        <v>406</v>
      </c>
      <c r="E5" s="69">
        <v>0.122</v>
      </c>
      <c r="F5" s="69">
        <v>1.2E-2</v>
      </c>
      <c r="G5" s="69">
        <v>7.0000000000000001E-3</v>
      </c>
      <c r="H5" s="69">
        <v>9.5000000000000001E-2</v>
      </c>
      <c r="I5" s="69">
        <v>0.21669999999999998</v>
      </c>
      <c r="J5" s="69">
        <v>1.1359000000000001</v>
      </c>
      <c r="K5" s="69">
        <v>5.8000000000000003E-2</v>
      </c>
      <c r="L5" s="108" t="s">
        <v>381</v>
      </c>
      <c r="M5" s="114"/>
    </row>
    <row r="6" spans="1:13" ht="15.75" customHeight="1">
      <c r="A6" s="68">
        <v>2</v>
      </c>
      <c r="B6" s="106" t="s">
        <v>222</v>
      </c>
      <c r="C6" s="68" t="s">
        <v>223</v>
      </c>
      <c r="D6" s="109" t="s">
        <v>407</v>
      </c>
      <c r="E6" s="150">
        <v>7.07</v>
      </c>
      <c r="F6" s="150">
        <v>0.22</v>
      </c>
      <c r="G6" s="70">
        <v>0</v>
      </c>
      <c r="H6" s="69">
        <v>1.8260000000000002E-2</v>
      </c>
      <c r="I6" s="70">
        <v>0</v>
      </c>
      <c r="J6" s="69">
        <v>0.15</v>
      </c>
      <c r="K6" s="70">
        <v>0</v>
      </c>
      <c r="L6" s="69"/>
      <c r="M6" s="114"/>
    </row>
    <row r="7" spans="1:13" ht="15" customHeight="1">
      <c r="A7" s="68">
        <v>3</v>
      </c>
      <c r="B7" s="106" t="s">
        <v>224</v>
      </c>
      <c r="C7" s="68" t="s">
        <v>225</v>
      </c>
      <c r="D7" s="109" t="s">
        <v>408</v>
      </c>
      <c r="E7" s="150">
        <v>2.6</v>
      </c>
      <c r="F7" s="150">
        <v>0.15</v>
      </c>
      <c r="G7" s="70">
        <v>0</v>
      </c>
      <c r="H7" s="69">
        <v>5.0999999999999997E-2</v>
      </c>
      <c r="I7" s="70">
        <v>0</v>
      </c>
      <c r="J7" s="69">
        <v>1.198</v>
      </c>
      <c r="K7" s="70">
        <v>0</v>
      </c>
      <c r="L7" s="69"/>
      <c r="M7" s="114"/>
    </row>
    <row r="8" spans="1:13" ht="28.5">
      <c r="A8" s="68">
        <v>4</v>
      </c>
      <c r="B8" s="106" t="s">
        <v>226</v>
      </c>
      <c r="C8" s="68" t="s">
        <v>227</v>
      </c>
      <c r="D8" s="110" t="s">
        <v>409</v>
      </c>
      <c r="E8" s="115">
        <v>0</v>
      </c>
      <c r="F8" s="115">
        <v>0</v>
      </c>
      <c r="G8" s="116">
        <v>0</v>
      </c>
      <c r="H8" s="116">
        <v>0</v>
      </c>
      <c r="I8" s="115">
        <v>0</v>
      </c>
      <c r="J8" s="115">
        <v>2.0500000000000001E-2</v>
      </c>
      <c r="K8" s="70">
        <v>0</v>
      </c>
      <c r="L8" s="114"/>
      <c r="M8" s="114"/>
    </row>
    <row r="9" spans="1:13">
      <c r="A9" s="68">
        <v>5</v>
      </c>
      <c r="B9" s="106" t="s">
        <v>228</v>
      </c>
      <c r="C9" s="110">
        <v>32</v>
      </c>
      <c r="D9" s="110" t="s">
        <v>410</v>
      </c>
      <c r="E9" s="115">
        <v>0</v>
      </c>
      <c r="F9" s="115">
        <v>0</v>
      </c>
      <c r="G9" s="116">
        <v>0</v>
      </c>
      <c r="H9" s="116">
        <v>0</v>
      </c>
      <c r="I9" s="115">
        <v>0</v>
      </c>
      <c r="J9" s="115">
        <v>0</v>
      </c>
      <c r="K9" s="70">
        <v>0</v>
      </c>
      <c r="L9" s="114"/>
      <c r="M9" s="114"/>
    </row>
    <row r="10" spans="1:13">
      <c r="A10" s="68">
        <v>6</v>
      </c>
      <c r="B10" s="106" t="s">
        <v>229</v>
      </c>
      <c r="C10" s="68" t="s">
        <v>225</v>
      </c>
      <c r="D10" s="110" t="s">
        <v>411</v>
      </c>
      <c r="E10" s="115">
        <v>0.32700000000000001</v>
      </c>
      <c r="F10" s="115">
        <v>8.0000000000000002E-3</v>
      </c>
      <c r="G10" s="116">
        <v>9.0275000000000008E-2</v>
      </c>
      <c r="H10" s="116">
        <v>0.41878500000000002</v>
      </c>
      <c r="I10" s="115">
        <v>0.30210000000000004</v>
      </c>
      <c r="J10" s="115">
        <v>1.2890999999999999</v>
      </c>
      <c r="K10" s="115">
        <v>3.3000000000000002E-2</v>
      </c>
      <c r="L10" s="114"/>
      <c r="M10" s="114"/>
    </row>
    <row r="11" spans="1:13" ht="28.5">
      <c r="A11" s="68">
        <v>7</v>
      </c>
      <c r="B11" s="106" t="s">
        <v>230</v>
      </c>
      <c r="C11" s="68" t="s">
        <v>231</v>
      </c>
      <c r="D11" s="110" t="s">
        <v>412</v>
      </c>
      <c r="E11" s="115">
        <v>0</v>
      </c>
      <c r="F11" s="115">
        <v>0</v>
      </c>
      <c r="G11" s="116">
        <v>0</v>
      </c>
      <c r="H11" s="116">
        <v>0</v>
      </c>
      <c r="I11" s="115">
        <v>0</v>
      </c>
      <c r="J11" s="115">
        <v>0</v>
      </c>
      <c r="K11" s="70">
        <v>0</v>
      </c>
      <c r="L11" s="114"/>
      <c r="M11" s="114"/>
    </row>
    <row r="12" spans="1:13" ht="28.5">
      <c r="A12" s="68">
        <v>8</v>
      </c>
      <c r="B12" s="106" t="s">
        <v>232</v>
      </c>
      <c r="C12" s="68" t="s">
        <v>221</v>
      </c>
      <c r="D12" s="110" t="s">
        <v>413</v>
      </c>
      <c r="E12" s="115">
        <v>0.64700000000000002</v>
      </c>
      <c r="F12" s="115">
        <v>0.183</v>
      </c>
      <c r="G12" s="116">
        <v>0.1275</v>
      </c>
      <c r="H12" s="116">
        <v>0.11059999999999999</v>
      </c>
      <c r="I12" s="116">
        <v>0.63500000000000001</v>
      </c>
      <c r="J12" s="116">
        <v>0.8637999999999999</v>
      </c>
      <c r="K12" s="116">
        <v>0.151</v>
      </c>
      <c r="L12" s="114"/>
      <c r="M12" s="114"/>
    </row>
    <row r="13" spans="1:13">
      <c r="A13" s="68">
        <v>9</v>
      </c>
      <c r="B13" s="106" t="s">
        <v>233</v>
      </c>
      <c r="C13" s="68" t="s">
        <v>234</v>
      </c>
      <c r="D13" s="110" t="s">
        <v>414</v>
      </c>
      <c r="E13" s="115">
        <v>1.544</v>
      </c>
      <c r="F13" s="115">
        <v>0</v>
      </c>
      <c r="G13" s="116">
        <v>0</v>
      </c>
      <c r="H13" s="116">
        <v>0</v>
      </c>
      <c r="I13" s="115">
        <v>0</v>
      </c>
      <c r="J13" s="115">
        <v>0</v>
      </c>
      <c r="K13" s="70">
        <v>0</v>
      </c>
      <c r="L13" s="114"/>
      <c r="M13" s="114"/>
    </row>
    <row r="14" spans="1:13">
      <c r="A14" s="68">
        <v>10</v>
      </c>
      <c r="B14" s="106" t="s">
        <v>235</v>
      </c>
      <c r="C14" s="68" t="s">
        <v>236</v>
      </c>
      <c r="D14" s="110" t="s">
        <v>415</v>
      </c>
      <c r="E14" s="115">
        <v>0</v>
      </c>
      <c r="F14" s="115">
        <v>0</v>
      </c>
      <c r="G14" s="116">
        <v>2E-3</v>
      </c>
      <c r="H14" s="116">
        <v>0</v>
      </c>
      <c r="I14" s="115">
        <v>0</v>
      </c>
      <c r="J14" s="115">
        <v>0</v>
      </c>
      <c r="K14" s="70">
        <v>0</v>
      </c>
      <c r="L14" s="114"/>
      <c r="M14" s="114"/>
    </row>
    <row r="15" spans="1:13" ht="18.75" customHeight="1">
      <c r="A15" s="68">
        <v>11</v>
      </c>
      <c r="B15" s="106" t="s">
        <v>237</v>
      </c>
      <c r="C15" s="68" t="s">
        <v>234</v>
      </c>
      <c r="D15" s="110" t="s">
        <v>416</v>
      </c>
      <c r="E15" s="115">
        <v>0</v>
      </c>
      <c r="F15" s="115">
        <v>0</v>
      </c>
      <c r="G15" s="116">
        <v>0</v>
      </c>
      <c r="H15" s="116">
        <v>0</v>
      </c>
      <c r="I15" s="116">
        <v>0</v>
      </c>
      <c r="J15" s="115">
        <v>0</v>
      </c>
      <c r="K15" s="70">
        <v>0</v>
      </c>
      <c r="L15" s="108"/>
      <c r="M15" s="114"/>
    </row>
    <row r="16" spans="1:13" ht="45">
      <c r="A16" s="68">
        <v>12</v>
      </c>
      <c r="B16" s="106" t="s">
        <v>238</v>
      </c>
      <c r="C16" s="68" t="s">
        <v>236</v>
      </c>
      <c r="D16" s="110" t="s">
        <v>417</v>
      </c>
      <c r="E16" s="115">
        <v>0</v>
      </c>
      <c r="F16" s="115">
        <v>0</v>
      </c>
      <c r="G16" s="116">
        <v>0</v>
      </c>
      <c r="H16" s="116">
        <v>1.5</v>
      </c>
      <c r="I16" s="115">
        <v>0</v>
      </c>
      <c r="J16" s="115">
        <v>0</v>
      </c>
      <c r="K16" s="70">
        <v>0</v>
      </c>
      <c r="L16" s="114"/>
      <c r="M16" s="108" t="s">
        <v>382</v>
      </c>
    </row>
    <row r="17" spans="1:13" ht="28.5">
      <c r="A17" s="68">
        <v>13</v>
      </c>
      <c r="B17" s="106" t="s">
        <v>239</v>
      </c>
      <c r="C17" s="68" t="s">
        <v>240</v>
      </c>
      <c r="D17" s="110" t="s">
        <v>418</v>
      </c>
      <c r="E17" s="115">
        <v>6.8000000000000005E-2</v>
      </c>
      <c r="F17" s="115">
        <v>2E-3</v>
      </c>
      <c r="G17" s="116">
        <v>2.5999999999999999E-2</v>
      </c>
      <c r="H17" s="116">
        <v>0.03</v>
      </c>
      <c r="I17" s="115">
        <v>2.5999999999999999E-2</v>
      </c>
      <c r="J17" s="115">
        <v>0</v>
      </c>
      <c r="K17" s="115">
        <v>5.1999999999999998E-2</v>
      </c>
      <c r="L17" s="114"/>
      <c r="M17" s="114"/>
    </row>
    <row r="18" spans="1:13" ht="28.5">
      <c r="A18" s="68">
        <v>14</v>
      </c>
      <c r="B18" s="106" t="s">
        <v>241</v>
      </c>
      <c r="C18" s="68" t="s">
        <v>236</v>
      </c>
      <c r="D18" s="110" t="s">
        <v>419</v>
      </c>
      <c r="E18" s="115">
        <v>0</v>
      </c>
      <c r="F18" s="115">
        <v>0</v>
      </c>
      <c r="G18" s="116">
        <v>0</v>
      </c>
      <c r="H18" s="116">
        <v>0</v>
      </c>
      <c r="I18" s="115">
        <v>0</v>
      </c>
      <c r="J18" s="115">
        <v>0</v>
      </c>
      <c r="K18" s="70">
        <v>0</v>
      </c>
      <c r="L18" s="114"/>
      <c r="M18" s="114"/>
    </row>
    <row r="19" spans="1:13" ht="28.5">
      <c r="A19" s="68">
        <v>15</v>
      </c>
      <c r="B19" s="106" t="s">
        <v>242</v>
      </c>
      <c r="C19" s="68" t="s">
        <v>234</v>
      </c>
      <c r="D19" s="110" t="s">
        <v>420</v>
      </c>
      <c r="E19" s="115">
        <v>0.02</v>
      </c>
      <c r="F19" s="115">
        <v>0</v>
      </c>
      <c r="G19" s="116">
        <v>1.4999999999999999E-2</v>
      </c>
      <c r="H19" s="116">
        <v>0.02</v>
      </c>
      <c r="I19" s="115">
        <v>0.06</v>
      </c>
      <c r="J19" s="115">
        <v>0.29125000000000001</v>
      </c>
      <c r="K19" s="70">
        <v>0</v>
      </c>
      <c r="L19" s="114"/>
      <c r="M19" s="114"/>
    </row>
    <row r="20" spans="1:13" ht="28.5">
      <c r="A20" s="68">
        <v>16</v>
      </c>
      <c r="B20" s="106" t="s">
        <v>243</v>
      </c>
      <c r="C20" s="68" t="s">
        <v>244</v>
      </c>
      <c r="D20" s="110" t="s">
        <v>421</v>
      </c>
      <c r="E20" s="115">
        <v>0</v>
      </c>
      <c r="F20" s="115">
        <v>0</v>
      </c>
      <c r="G20" s="116">
        <v>0</v>
      </c>
      <c r="H20" s="116">
        <v>0</v>
      </c>
      <c r="I20" s="115">
        <v>0</v>
      </c>
      <c r="J20" s="115">
        <v>0</v>
      </c>
      <c r="K20" s="70">
        <v>0</v>
      </c>
      <c r="L20" s="114"/>
      <c r="M20" s="114"/>
    </row>
    <row r="21" spans="1:13">
      <c r="A21" s="68">
        <v>17</v>
      </c>
      <c r="B21" s="106" t="s">
        <v>245</v>
      </c>
      <c r="C21" s="110">
        <v>3.2</v>
      </c>
      <c r="D21" s="110" t="s">
        <v>433</v>
      </c>
      <c r="E21" s="115">
        <v>5.0000000000000001E-3</v>
      </c>
      <c r="F21" s="115">
        <v>0</v>
      </c>
      <c r="G21" s="116">
        <v>8.270000000000001E-2</v>
      </c>
      <c r="H21" s="116">
        <v>0.12340000000000001</v>
      </c>
      <c r="I21" s="115">
        <v>0.20855000000000001</v>
      </c>
      <c r="J21" s="115">
        <v>0.22889999999999999</v>
      </c>
      <c r="K21" s="115">
        <v>7.5999999999999998E-2</v>
      </c>
      <c r="L21" s="114"/>
      <c r="M21" s="114"/>
    </row>
    <row r="22" spans="1:13">
      <c r="A22" s="68">
        <v>18</v>
      </c>
      <c r="B22" s="106" t="s">
        <v>246</v>
      </c>
      <c r="C22" s="68" t="s">
        <v>236</v>
      </c>
      <c r="D22" s="110" t="s">
        <v>256</v>
      </c>
      <c r="E22" s="115">
        <v>0</v>
      </c>
      <c r="F22" s="115">
        <v>0</v>
      </c>
      <c r="G22" s="116">
        <v>0</v>
      </c>
      <c r="H22" s="116">
        <v>0</v>
      </c>
      <c r="I22" s="115">
        <v>0</v>
      </c>
      <c r="J22" s="115">
        <v>0</v>
      </c>
      <c r="K22" s="70">
        <v>0</v>
      </c>
      <c r="L22" s="114"/>
      <c r="M22" s="114"/>
    </row>
    <row r="23" spans="1:13" ht="28.5">
      <c r="A23" s="68">
        <v>19</v>
      </c>
      <c r="B23" s="106" t="s">
        <v>247</v>
      </c>
      <c r="C23" s="68" t="s">
        <v>248</v>
      </c>
      <c r="D23" s="110" t="s">
        <v>422</v>
      </c>
      <c r="E23" s="115">
        <v>0.158</v>
      </c>
      <c r="F23" s="115">
        <v>0.124</v>
      </c>
      <c r="G23" s="116">
        <v>0.24640000000000001</v>
      </c>
      <c r="H23" s="116">
        <v>0.14780000000000001</v>
      </c>
      <c r="I23" s="115">
        <v>0.75055700000000003</v>
      </c>
      <c r="J23" s="115">
        <v>1.3622999999999998</v>
      </c>
      <c r="K23" s="115">
        <v>0.46300000000000002</v>
      </c>
      <c r="L23" s="114"/>
      <c r="M23" s="114"/>
    </row>
    <row r="24" spans="1:13">
      <c r="A24" s="68">
        <v>20</v>
      </c>
      <c r="B24" s="106" t="s">
        <v>249</v>
      </c>
      <c r="C24" s="68" t="s">
        <v>250</v>
      </c>
      <c r="D24" s="110" t="s">
        <v>423</v>
      </c>
      <c r="E24" s="115">
        <v>0</v>
      </c>
      <c r="F24" s="115">
        <v>0</v>
      </c>
      <c r="G24" s="116">
        <v>0.1772</v>
      </c>
      <c r="H24" s="116">
        <v>5.0000000000000001E-3</v>
      </c>
      <c r="I24" s="115">
        <v>0</v>
      </c>
      <c r="J24" s="115">
        <v>0</v>
      </c>
      <c r="K24" s="70">
        <v>0</v>
      </c>
      <c r="L24" s="114"/>
      <c r="M24" s="114"/>
    </row>
    <row r="25" spans="1:13" ht="45">
      <c r="A25" s="68">
        <v>21</v>
      </c>
      <c r="B25" s="106" t="s">
        <v>251</v>
      </c>
      <c r="C25" s="68" t="s">
        <v>234</v>
      </c>
      <c r="D25" s="110" t="s">
        <v>424</v>
      </c>
      <c r="E25" s="115">
        <v>0</v>
      </c>
      <c r="F25" s="115">
        <v>0</v>
      </c>
      <c r="G25" s="116">
        <v>0</v>
      </c>
      <c r="H25" s="116">
        <v>0</v>
      </c>
      <c r="I25" s="115">
        <v>0</v>
      </c>
      <c r="J25" s="115">
        <v>0</v>
      </c>
      <c r="K25" s="70">
        <v>0</v>
      </c>
      <c r="L25" s="114"/>
      <c r="M25" s="108" t="s">
        <v>383</v>
      </c>
    </row>
    <row r="26" spans="1:13">
      <c r="A26" s="68">
        <v>22</v>
      </c>
      <c r="B26" s="106" t="s">
        <v>252</v>
      </c>
      <c r="C26" s="110">
        <v>2.5</v>
      </c>
      <c r="D26" s="110" t="s">
        <v>425</v>
      </c>
      <c r="E26" s="115">
        <v>0</v>
      </c>
      <c r="F26" s="115">
        <v>0</v>
      </c>
      <c r="G26" s="116">
        <v>0</v>
      </c>
      <c r="H26" s="116">
        <v>0</v>
      </c>
      <c r="I26" s="115">
        <v>0</v>
      </c>
      <c r="J26" s="115">
        <v>0</v>
      </c>
      <c r="K26" s="70">
        <v>0</v>
      </c>
      <c r="L26" s="114"/>
      <c r="M26" s="114"/>
    </row>
    <row r="27" spans="1:13">
      <c r="A27" s="68">
        <v>23</v>
      </c>
      <c r="B27" s="106" t="s">
        <v>253</v>
      </c>
      <c r="C27" s="68" t="s">
        <v>240</v>
      </c>
      <c r="D27" s="110" t="s">
        <v>426</v>
      </c>
      <c r="E27" s="115">
        <v>0</v>
      </c>
      <c r="F27" s="115">
        <v>0</v>
      </c>
      <c r="G27" s="116">
        <v>0</v>
      </c>
      <c r="H27" s="116">
        <v>0</v>
      </c>
      <c r="I27" s="115">
        <v>8.5999999999999993E-2</v>
      </c>
      <c r="J27" s="115">
        <v>0.21</v>
      </c>
      <c r="K27" s="70">
        <v>0</v>
      </c>
      <c r="L27" s="114"/>
      <c r="M27" s="114"/>
    </row>
    <row r="28" spans="1:13" ht="28.5">
      <c r="A28" s="68">
        <v>24</v>
      </c>
      <c r="B28" s="106" t="s">
        <v>254</v>
      </c>
      <c r="C28" s="68" t="s">
        <v>236</v>
      </c>
      <c r="D28" s="110" t="s">
        <v>427</v>
      </c>
      <c r="E28" s="115">
        <v>0</v>
      </c>
      <c r="F28" s="115">
        <v>0</v>
      </c>
      <c r="G28" s="116">
        <v>0</v>
      </c>
      <c r="H28" s="116">
        <v>0</v>
      </c>
      <c r="I28" s="115">
        <v>0</v>
      </c>
      <c r="J28" s="115">
        <v>0</v>
      </c>
      <c r="K28" s="70">
        <v>0</v>
      </c>
      <c r="L28" s="114"/>
      <c r="M28" s="114"/>
    </row>
    <row r="29" spans="1:13">
      <c r="A29" s="68">
        <v>25</v>
      </c>
      <c r="B29" s="106" t="s">
        <v>255</v>
      </c>
      <c r="C29" s="110">
        <v>1.8</v>
      </c>
      <c r="D29" s="110" t="s">
        <v>428</v>
      </c>
      <c r="E29" s="115">
        <v>0</v>
      </c>
      <c r="F29" s="115">
        <v>0</v>
      </c>
      <c r="G29" s="116">
        <v>0</v>
      </c>
      <c r="H29" s="116">
        <v>0</v>
      </c>
      <c r="I29" s="116">
        <v>0</v>
      </c>
      <c r="J29" s="115">
        <v>0</v>
      </c>
      <c r="K29" s="70">
        <v>0</v>
      </c>
      <c r="L29" s="114"/>
      <c r="M29" s="114"/>
    </row>
    <row r="30" spans="1:13">
      <c r="A30" s="68">
        <v>26</v>
      </c>
      <c r="B30" s="106" t="s">
        <v>257</v>
      </c>
      <c r="C30" s="68" t="s">
        <v>244</v>
      </c>
      <c r="D30" s="110" t="s">
        <v>429</v>
      </c>
      <c r="E30" s="115">
        <v>0</v>
      </c>
      <c r="F30" s="115">
        <v>0</v>
      </c>
      <c r="G30" s="116">
        <v>0</v>
      </c>
      <c r="H30" s="116">
        <v>0</v>
      </c>
      <c r="I30" s="115">
        <v>0</v>
      </c>
      <c r="J30" s="115">
        <v>0</v>
      </c>
      <c r="K30" s="70">
        <v>0</v>
      </c>
      <c r="L30" s="114"/>
      <c r="M30" s="114"/>
    </row>
    <row r="31" spans="1:13" ht="19.5" customHeight="1">
      <c r="A31" s="68">
        <v>27</v>
      </c>
      <c r="B31" s="106" t="s">
        <v>258</v>
      </c>
      <c r="C31" s="110">
        <v>2.5</v>
      </c>
      <c r="D31" s="110" t="s">
        <v>430</v>
      </c>
      <c r="E31" s="115">
        <v>0</v>
      </c>
      <c r="F31" s="115">
        <v>0</v>
      </c>
      <c r="G31" s="116">
        <v>0</v>
      </c>
      <c r="H31" s="116">
        <v>0</v>
      </c>
      <c r="I31" s="116">
        <v>0</v>
      </c>
      <c r="J31" s="115">
        <v>0</v>
      </c>
      <c r="K31" s="70">
        <v>0</v>
      </c>
      <c r="L31" s="108"/>
      <c r="M31" s="114"/>
    </row>
    <row r="32" spans="1:13">
      <c r="A32" s="68">
        <v>28</v>
      </c>
      <c r="B32" s="106" t="s">
        <v>259</v>
      </c>
      <c r="C32" s="68" t="s">
        <v>260</v>
      </c>
      <c r="D32" s="110" t="s">
        <v>431</v>
      </c>
      <c r="E32" s="115">
        <v>0</v>
      </c>
      <c r="F32" s="115">
        <v>0</v>
      </c>
      <c r="G32" s="116">
        <v>0</v>
      </c>
      <c r="H32" s="116">
        <v>0</v>
      </c>
      <c r="I32" s="116">
        <v>0</v>
      </c>
      <c r="J32" s="115">
        <v>0</v>
      </c>
      <c r="K32" s="70">
        <v>0</v>
      </c>
      <c r="L32" s="114"/>
      <c r="M32" s="114"/>
    </row>
    <row r="33" spans="1:13">
      <c r="A33" s="68">
        <v>29</v>
      </c>
      <c r="B33" s="106" t="s">
        <v>261</v>
      </c>
      <c r="C33" s="68" t="s">
        <v>236</v>
      </c>
      <c r="D33" s="110" t="s">
        <v>425</v>
      </c>
      <c r="E33" s="115">
        <v>0.18</v>
      </c>
      <c r="F33" s="115">
        <v>0</v>
      </c>
      <c r="G33" s="116">
        <v>5.0000000000000001E-3</v>
      </c>
      <c r="H33" s="116">
        <v>3.0000000000000001E-3</v>
      </c>
      <c r="I33" s="116">
        <v>0.09</v>
      </c>
      <c r="J33" s="115">
        <v>5.8000000000000003E-2</v>
      </c>
      <c r="K33" s="70">
        <v>0</v>
      </c>
      <c r="L33" s="114"/>
      <c r="M33" s="114"/>
    </row>
    <row r="34" spans="1:13" ht="45">
      <c r="A34" s="68">
        <v>30</v>
      </c>
      <c r="B34" s="106" t="s">
        <v>262</v>
      </c>
      <c r="C34" s="68" t="s">
        <v>240</v>
      </c>
      <c r="D34" s="392" t="s">
        <v>432</v>
      </c>
      <c r="E34" s="116">
        <v>0.10199999999999999</v>
      </c>
      <c r="F34" s="116">
        <v>0.1</v>
      </c>
      <c r="G34" s="116">
        <v>0</v>
      </c>
      <c r="H34" s="117">
        <v>0.48</v>
      </c>
      <c r="I34" s="116">
        <v>0.14899999999999999</v>
      </c>
      <c r="J34" s="115">
        <v>0.96899999999999997</v>
      </c>
      <c r="K34" s="115">
        <v>3.1E-2</v>
      </c>
      <c r="L34" s="114"/>
      <c r="M34" s="108" t="s">
        <v>384</v>
      </c>
    </row>
  </sheetData>
  <mergeCells count="9">
    <mergeCell ref="M2:M3"/>
    <mergeCell ref="A1:L1"/>
    <mergeCell ref="A2:A3"/>
    <mergeCell ref="B2:B3"/>
    <mergeCell ref="C2:C3"/>
    <mergeCell ref="D2:D3"/>
    <mergeCell ref="E2:F2"/>
    <mergeCell ref="L2:L3"/>
    <mergeCell ref="G2:K2"/>
  </mergeCells>
  <pageMargins left="0.70866141732283472" right="0.70866141732283472"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06"/>
  <sheetViews>
    <sheetView zoomScale="80" zoomScaleNormal="80" workbookViewId="0">
      <pane xSplit="4" ySplit="5" topLeftCell="E93" activePane="bottomRight" state="frozen"/>
      <selection pane="topRight" activeCell="E1" sqref="E1"/>
      <selection pane="bottomLeft" activeCell="A6" sqref="A6"/>
      <selection pane="bottomRight" activeCell="M95" sqref="M95"/>
    </sheetView>
  </sheetViews>
  <sheetFormatPr defaultRowHeight="15"/>
  <cols>
    <col min="1" max="1" width="4.140625" style="60" customWidth="1"/>
    <col min="2" max="2" width="36" style="85" customWidth="1"/>
    <col min="3" max="3" width="5.5703125" style="85" customWidth="1"/>
    <col min="4" max="4" width="14" style="85" customWidth="1"/>
    <col min="5" max="5" width="13.140625" style="85" customWidth="1"/>
    <col min="6" max="6" width="11.5703125" style="85" customWidth="1"/>
    <col min="7" max="7" width="13.42578125" style="85" customWidth="1"/>
    <col min="8" max="8" width="12.7109375" style="85" customWidth="1"/>
    <col min="9" max="9" width="12" style="85" customWidth="1"/>
    <col min="10" max="10" width="13" style="85" customWidth="1"/>
    <col min="11" max="16384" width="9.140625" style="60"/>
  </cols>
  <sheetData>
    <row r="1" spans="1:15">
      <c r="E1" s="503"/>
      <c r="F1" s="503"/>
      <c r="I1" s="503"/>
      <c r="J1" s="503"/>
    </row>
    <row r="2" spans="1:15" ht="15.75" thickBot="1"/>
    <row r="3" spans="1:15" ht="22.5" customHeight="1">
      <c r="A3" s="504" t="s">
        <v>385</v>
      </c>
      <c r="B3" s="505"/>
      <c r="C3" s="505"/>
      <c r="D3" s="505"/>
      <c r="E3" s="505"/>
      <c r="F3" s="505"/>
      <c r="G3" s="505"/>
      <c r="H3" s="505"/>
      <c r="I3" s="505"/>
      <c r="J3" s="506"/>
      <c r="K3" s="67"/>
      <c r="L3" s="67"/>
      <c r="M3" s="67"/>
      <c r="N3" s="67"/>
      <c r="O3" s="67"/>
    </row>
    <row r="4" spans="1:15" ht="49.5" customHeight="1">
      <c r="A4" s="507" t="s">
        <v>0</v>
      </c>
      <c r="B4" s="508" t="s">
        <v>208</v>
      </c>
      <c r="C4" s="508" t="s">
        <v>207</v>
      </c>
      <c r="D4" s="509" t="s">
        <v>444</v>
      </c>
      <c r="E4" s="509" t="s">
        <v>445</v>
      </c>
      <c r="F4" s="509" t="s">
        <v>206</v>
      </c>
      <c r="G4" s="509"/>
      <c r="H4" s="509"/>
      <c r="I4" s="509"/>
      <c r="J4" s="510"/>
      <c r="K4" s="67"/>
      <c r="L4" s="67"/>
      <c r="M4" s="67"/>
      <c r="N4" s="67"/>
      <c r="O4" s="67"/>
    </row>
    <row r="5" spans="1:15" ht="33" customHeight="1">
      <c r="A5" s="507"/>
      <c r="B5" s="508"/>
      <c r="C5" s="508"/>
      <c r="D5" s="509"/>
      <c r="E5" s="509"/>
      <c r="F5" s="162" t="s">
        <v>17</v>
      </c>
      <c r="G5" s="162" t="s">
        <v>18</v>
      </c>
      <c r="H5" s="162" t="s">
        <v>19</v>
      </c>
      <c r="I5" s="457" t="s">
        <v>20</v>
      </c>
      <c r="J5" s="458" t="s">
        <v>394</v>
      </c>
    </row>
    <row r="6" spans="1:15" ht="13.5" customHeight="1">
      <c r="A6" s="97">
        <v>1</v>
      </c>
      <c r="B6" s="66">
        <v>2</v>
      </c>
      <c r="C6" s="66">
        <v>3</v>
      </c>
      <c r="D6" s="66">
        <v>4</v>
      </c>
      <c r="E6" s="66">
        <v>5</v>
      </c>
      <c r="F6" s="66">
        <v>6</v>
      </c>
      <c r="G6" s="86">
        <v>7</v>
      </c>
      <c r="H6" s="87">
        <v>8</v>
      </c>
      <c r="I6" s="87">
        <v>9</v>
      </c>
      <c r="J6" s="98">
        <v>10</v>
      </c>
    </row>
    <row r="7" spans="1:15" s="62" customFormat="1" ht="15.75" customHeight="1">
      <c r="A7" s="507">
        <v>1</v>
      </c>
      <c r="B7" s="65" t="s">
        <v>205</v>
      </c>
      <c r="C7" s="508" t="s">
        <v>201</v>
      </c>
      <c r="D7" s="94">
        <v>0</v>
      </c>
      <c r="E7" s="94">
        <v>0</v>
      </c>
      <c r="F7" s="94">
        <v>0</v>
      </c>
      <c r="G7" s="94">
        <v>0</v>
      </c>
      <c r="H7" s="94">
        <v>0</v>
      </c>
      <c r="I7" s="94">
        <v>0</v>
      </c>
      <c r="J7" s="101">
        <v>0</v>
      </c>
    </row>
    <row r="8" spans="1:15" ht="13.5" customHeight="1">
      <c r="A8" s="507"/>
      <c r="B8" s="61" t="s">
        <v>179</v>
      </c>
      <c r="C8" s="508"/>
      <c r="D8" s="93">
        <v>0</v>
      </c>
      <c r="E8" s="93">
        <v>0</v>
      </c>
      <c r="F8" s="93">
        <v>0</v>
      </c>
      <c r="G8" s="93">
        <v>0</v>
      </c>
      <c r="H8" s="93">
        <v>0</v>
      </c>
      <c r="I8" s="93">
        <v>0</v>
      </c>
      <c r="J8" s="100">
        <v>0</v>
      </c>
    </row>
    <row r="9" spans="1:15" ht="13.5" customHeight="1">
      <c r="A9" s="507"/>
      <c r="B9" s="61" t="s">
        <v>189</v>
      </c>
      <c r="C9" s="508"/>
      <c r="D9" s="93">
        <v>0</v>
      </c>
      <c r="E9" s="93">
        <v>0</v>
      </c>
      <c r="F9" s="93">
        <v>0</v>
      </c>
      <c r="G9" s="93">
        <v>0</v>
      </c>
      <c r="H9" s="93">
        <v>0</v>
      </c>
      <c r="I9" s="93">
        <v>0</v>
      </c>
      <c r="J9" s="100">
        <v>0</v>
      </c>
    </row>
    <row r="10" spans="1:15" ht="13.5" customHeight="1">
      <c r="A10" s="507"/>
      <c r="B10" s="64" t="s">
        <v>188</v>
      </c>
      <c r="C10" s="508"/>
      <c r="D10" s="93">
        <v>0</v>
      </c>
      <c r="E10" s="93">
        <v>0</v>
      </c>
      <c r="F10" s="93">
        <v>0</v>
      </c>
      <c r="G10" s="93">
        <v>0</v>
      </c>
      <c r="H10" s="93">
        <v>0</v>
      </c>
      <c r="I10" s="93">
        <v>0</v>
      </c>
      <c r="J10" s="100">
        <v>0</v>
      </c>
    </row>
    <row r="11" spans="1:15" ht="13.5" customHeight="1">
      <c r="A11" s="507"/>
      <c r="B11" s="64" t="s">
        <v>187</v>
      </c>
      <c r="C11" s="508"/>
      <c r="D11" s="93">
        <v>0</v>
      </c>
      <c r="E11" s="93">
        <v>0</v>
      </c>
      <c r="F11" s="93">
        <v>0</v>
      </c>
      <c r="G11" s="93">
        <v>0</v>
      </c>
      <c r="H11" s="93">
        <v>0</v>
      </c>
      <c r="I11" s="93">
        <v>0</v>
      </c>
      <c r="J11" s="100">
        <v>0</v>
      </c>
    </row>
    <row r="12" spans="1:15" ht="13.5" customHeight="1">
      <c r="A12" s="507"/>
      <c r="B12" s="61" t="s">
        <v>186</v>
      </c>
      <c r="C12" s="508"/>
      <c r="D12" s="93">
        <v>0</v>
      </c>
      <c r="E12" s="93">
        <v>0</v>
      </c>
      <c r="F12" s="93">
        <v>0</v>
      </c>
      <c r="G12" s="93">
        <v>0</v>
      </c>
      <c r="H12" s="93">
        <v>0</v>
      </c>
      <c r="I12" s="93">
        <v>0</v>
      </c>
      <c r="J12" s="100">
        <v>0</v>
      </c>
    </row>
    <row r="13" spans="1:15" s="62" customFormat="1" ht="14.25">
      <c r="A13" s="507">
        <v>2</v>
      </c>
      <c r="B13" s="65" t="s">
        <v>204</v>
      </c>
      <c r="C13" s="508" t="s">
        <v>201</v>
      </c>
      <c r="D13" s="94">
        <v>16.747</v>
      </c>
      <c r="E13" s="94">
        <f>SUM(E14:E18)</f>
        <v>0</v>
      </c>
      <c r="F13" s="94">
        <v>16.747</v>
      </c>
      <c r="G13" s="94">
        <v>16.747</v>
      </c>
      <c r="H13" s="94">
        <v>16.747</v>
      </c>
      <c r="I13" s="94">
        <v>16.747</v>
      </c>
      <c r="J13" s="101">
        <v>16.747</v>
      </c>
    </row>
    <row r="14" spans="1:15" ht="13.5" customHeight="1">
      <c r="A14" s="507"/>
      <c r="B14" s="61" t="s">
        <v>179</v>
      </c>
      <c r="C14" s="508"/>
      <c r="D14" s="176">
        <f>D13-D15-D16</f>
        <v>2.4609999999999994</v>
      </c>
      <c r="E14" s="176">
        <v>0</v>
      </c>
      <c r="F14" s="176">
        <f>F13-F15-F16</f>
        <v>2.4609999999999994</v>
      </c>
      <c r="G14" s="176">
        <f t="shared" ref="G14:J14" si="0">G13-G15-G16</f>
        <v>3.9609999999999994</v>
      </c>
      <c r="H14" s="176">
        <f t="shared" si="0"/>
        <v>5.1609999999999996</v>
      </c>
      <c r="I14" s="176">
        <f t="shared" si="0"/>
        <v>5.3609999999999998</v>
      </c>
      <c r="J14" s="177">
        <f t="shared" si="0"/>
        <v>5.5609999999999999</v>
      </c>
    </row>
    <row r="15" spans="1:15" ht="13.5" customHeight="1">
      <c r="A15" s="507"/>
      <c r="B15" s="61" t="s">
        <v>189</v>
      </c>
      <c r="C15" s="508"/>
      <c r="D15" s="176">
        <v>11.086</v>
      </c>
      <c r="E15" s="176">
        <v>0</v>
      </c>
      <c r="F15" s="176">
        <f>D15-E15</f>
        <v>11.086</v>
      </c>
      <c r="G15" s="176">
        <v>11.086</v>
      </c>
      <c r="H15" s="176">
        <v>11.086</v>
      </c>
      <c r="I15" s="176">
        <v>11.086</v>
      </c>
      <c r="J15" s="177">
        <v>11.086</v>
      </c>
    </row>
    <row r="16" spans="1:15" ht="13.5" customHeight="1">
      <c r="A16" s="507"/>
      <c r="B16" s="64" t="s">
        <v>188</v>
      </c>
      <c r="C16" s="508"/>
      <c r="D16" s="176">
        <v>3.2</v>
      </c>
      <c r="E16" s="176">
        <v>0</v>
      </c>
      <c r="F16" s="176">
        <f>D16-E16</f>
        <v>3.2</v>
      </c>
      <c r="G16" s="176">
        <v>1.7</v>
      </c>
      <c r="H16" s="176">
        <v>0.5</v>
      </c>
      <c r="I16" s="176">
        <v>0.3</v>
      </c>
      <c r="J16" s="177">
        <v>0.1</v>
      </c>
    </row>
    <row r="17" spans="1:16" ht="13.5" customHeight="1">
      <c r="A17" s="507"/>
      <c r="B17" s="64" t="s">
        <v>187</v>
      </c>
      <c r="C17" s="508"/>
      <c r="D17" s="176">
        <v>0</v>
      </c>
      <c r="E17" s="176">
        <v>0</v>
      </c>
      <c r="F17" s="176">
        <v>0</v>
      </c>
      <c r="G17" s="176">
        <v>0</v>
      </c>
      <c r="H17" s="176">
        <v>0</v>
      </c>
      <c r="I17" s="176">
        <v>0</v>
      </c>
      <c r="J17" s="177">
        <v>0</v>
      </c>
    </row>
    <row r="18" spans="1:16" ht="13.5" customHeight="1">
      <c r="A18" s="507"/>
      <c r="B18" s="61" t="s">
        <v>186</v>
      </c>
      <c r="C18" s="508"/>
      <c r="D18" s="176">
        <v>0</v>
      </c>
      <c r="E18" s="176">
        <v>0</v>
      </c>
      <c r="F18" s="176">
        <v>0</v>
      </c>
      <c r="G18" s="176">
        <v>0</v>
      </c>
      <c r="H18" s="176">
        <v>0</v>
      </c>
      <c r="I18" s="176">
        <v>0</v>
      </c>
      <c r="J18" s="177">
        <v>0</v>
      </c>
    </row>
    <row r="19" spans="1:16" s="62" customFormat="1" ht="14.25">
      <c r="A19" s="507">
        <v>3</v>
      </c>
      <c r="B19" s="65" t="s">
        <v>203</v>
      </c>
      <c r="C19" s="508" t="s">
        <v>201</v>
      </c>
      <c r="D19" s="94">
        <v>148.72800000000001</v>
      </c>
      <c r="E19" s="94">
        <f>SUM(E20:E24)</f>
        <v>0.43</v>
      </c>
      <c r="F19" s="94">
        <f>148.728</f>
        <v>148.72800000000001</v>
      </c>
      <c r="G19" s="94">
        <f>F19</f>
        <v>148.72800000000001</v>
      </c>
      <c r="H19" s="94">
        <f>G19</f>
        <v>148.72800000000001</v>
      </c>
      <c r="I19" s="94">
        <v>148.72800000000001</v>
      </c>
      <c r="J19" s="101">
        <v>148.72800000000001</v>
      </c>
    </row>
    <row r="20" spans="1:16" ht="13.5" customHeight="1">
      <c r="A20" s="507"/>
      <c r="B20" s="61" t="s">
        <v>179</v>
      </c>
      <c r="C20" s="508"/>
      <c r="D20" s="176">
        <f>D19-D21-D22</f>
        <v>98.52800000000002</v>
      </c>
      <c r="E20" s="176">
        <v>0</v>
      </c>
      <c r="F20" s="178">
        <f>F19-F21-F22</f>
        <v>98.958000000000013</v>
      </c>
      <c r="G20" s="178">
        <f>G19-G21-G22</f>
        <v>98.928000000000011</v>
      </c>
      <c r="H20" s="178">
        <f>H19-H21-H22</f>
        <v>99.52800000000002</v>
      </c>
      <c r="I20" s="176">
        <f t="shared" ref="I20:J20" si="1">I19-I21-I22</f>
        <v>99.728000000000009</v>
      </c>
      <c r="J20" s="177">
        <f t="shared" si="1"/>
        <v>99.928000000000011</v>
      </c>
      <c r="L20" s="244"/>
      <c r="M20" s="244"/>
      <c r="N20" s="244"/>
      <c r="O20" s="244"/>
      <c r="P20" s="244"/>
    </row>
    <row r="21" spans="1:16" ht="13.5" customHeight="1">
      <c r="A21" s="507"/>
      <c r="B21" s="61" t="s">
        <v>189</v>
      </c>
      <c r="C21" s="508"/>
      <c r="D21" s="176">
        <v>48.6</v>
      </c>
      <c r="E21" s="176">
        <v>0</v>
      </c>
      <c r="F21" s="178">
        <f>D21-E21</f>
        <v>48.6</v>
      </c>
      <c r="G21" s="178">
        <f>30.78+17.82</f>
        <v>48.6</v>
      </c>
      <c r="H21" s="178">
        <f>30.78+17.82</f>
        <v>48.6</v>
      </c>
      <c r="I21" s="178">
        <f>H21</f>
        <v>48.6</v>
      </c>
      <c r="J21" s="179">
        <f>I21</f>
        <v>48.6</v>
      </c>
    </row>
    <row r="22" spans="1:16" ht="13.5" customHeight="1">
      <c r="A22" s="507"/>
      <c r="B22" s="64" t="s">
        <v>188</v>
      </c>
      <c r="C22" s="508"/>
      <c r="D22" s="176">
        <v>1.6</v>
      </c>
      <c r="E22" s="176">
        <v>0.43</v>
      </c>
      <c r="F22" s="176">
        <f>D22-E22</f>
        <v>1.1700000000000002</v>
      </c>
      <c r="G22" s="176">
        <v>1.2</v>
      </c>
      <c r="H22" s="176">
        <v>0.6</v>
      </c>
      <c r="I22" s="176">
        <v>0.4</v>
      </c>
      <c r="J22" s="177">
        <v>0.2</v>
      </c>
    </row>
    <row r="23" spans="1:16" ht="13.5" customHeight="1">
      <c r="A23" s="507"/>
      <c r="B23" s="64" t="s">
        <v>187</v>
      </c>
      <c r="C23" s="508"/>
      <c r="D23" s="176">
        <v>0</v>
      </c>
      <c r="E23" s="176">
        <v>0</v>
      </c>
      <c r="F23" s="176">
        <v>0</v>
      </c>
      <c r="G23" s="176">
        <v>0</v>
      </c>
      <c r="H23" s="176">
        <v>0</v>
      </c>
      <c r="I23" s="176">
        <v>0</v>
      </c>
      <c r="J23" s="177">
        <v>0</v>
      </c>
    </row>
    <row r="24" spans="1:16" ht="13.5" customHeight="1">
      <c r="A24" s="507"/>
      <c r="B24" s="61" t="s">
        <v>186</v>
      </c>
      <c r="C24" s="508"/>
      <c r="D24" s="176">
        <v>0</v>
      </c>
      <c r="E24" s="176">
        <v>0</v>
      </c>
      <c r="F24" s="176">
        <v>0</v>
      </c>
      <c r="G24" s="176">
        <v>0</v>
      </c>
      <c r="H24" s="176">
        <v>0</v>
      </c>
      <c r="I24" s="176">
        <v>0</v>
      </c>
      <c r="J24" s="177">
        <v>0</v>
      </c>
    </row>
    <row r="25" spans="1:16" s="62" customFormat="1" ht="18.75" customHeight="1">
      <c r="A25" s="507">
        <v>4</v>
      </c>
      <c r="B25" s="65" t="s">
        <v>202</v>
      </c>
      <c r="C25" s="508" t="s">
        <v>201</v>
      </c>
      <c r="D25" s="94">
        <v>144.12</v>
      </c>
      <c r="E25" s="166">
        <f>SUM(E26:E30)</f>
        <v>3.2</v>
      </c>
      <c r="F25" s="94">
        <f>144.12</f>
        <v>144.12</v>
      </c>
      <c r="G25" s="94">
        <f>D25+0.43</f>
        <v>144.55000000000001</v>
      </c>
      <c r="H25" s="94">
        <f>G25</f>
        <v>144.55000000000001</v>
      </c>
      <c r="I25" s="94">
        <f>H25+1.7</f>
        <v>146.25</v>
      </c>
      <c r="J25" s="101">
        <f>I25</f>
        <v>146.25</v>
      </c>
    </row>
    <row r="26" spans="1:16" ht="18" customHeight="1">
      <c r="A26" s="507"/>
      <c r="B26" s="61" t="s">
        <v>179</v>
      </c>
      <c r="C26" s="508"/>
      <c r="D26" s="176">
        <f>D25-D27-D28</f>
        <v>72.360000000000014</v>
      </c>
      <c r="E26" s="176">
        <v>0</v>
      </c>
      <c r="F26" s="176">
        <f>F25-F27-F28</f>
        <v>75.560000000000016</v>
      </c>
      <c r="G26" s="176">
        <f>G25-G27-G28</f>
        <v>82.960000000000022</v>
      </c>
      <c r="H26" s="176">
        <f>H25-H27-H28</f>
        <v>90.79000000000002</v>
      </c>
      <c r="I26" s="176">
        <f>I25-I27-I28</f>
        <v>97.740000000000009</v>
      </c>
      <c r="J26" s="177">
        <f>J25-J27-J28</f>
        <v>106.94000000000001</v>
      </c>
    </row>
    <row r="27" spans="1:16" ht="13.5" customHeight="1">
      <c r="A27" s="507"/>
      <c r="B27" s="61" t="s">
        <v>189</v>
      </c>
      <c r="C27" s="508"/>
      <c r="D27" s="176">
        <v>62.01</v>
      </c>
      <c r="E27" s="178">
        <v>0</v>
      </c>
      <c r="F27" s="178">
        <f>D27-E27</f>
        <v>62.01</v>
      </c>
      <c r="G27" s="178">
        <f>F27-4</f>
        <v>58.01</v>
      </c>
      <c r="H27" s="178">
        <f>G27-6.6</f>
        <v>51.41</v>
      </c>
      <c r="I27" s="178">
        <f>H27-4.7</f>
        <v>46.709999999999994</v>
      </c>
      <c r="J27" s="177">
        <f>I27-8.6</f>
        <v>38.109999999999992</v>
      </c>
    </row>
    <row r="28" spans="1:16" ht="13.5" customHeight="1">
      <c r="A28" s="507"/>
      <c r="B28" s="64" t="s">
        <v>188</v>
      </c>
      <c r="C28" s="508"/>
      <c r="D28" s="176">
        <v>9.75</v>
      </c>
      <c r="E28" s="176">
        <v>3.2</v>
      </c>
      <c r="F28" s="176">
        <f>D28-E28</f>
        <v>6.55</v>
      </c>
      <c r="G28" s="176">
        <v>3.58</v>
      </c>
      <c r="H28" s="176">
        <v>2.35</v>
      </c>
      <c r="I28" s="178">
        <v>1.8</v>
      </c>
      <c r="J28" s="179">
        <v>1.2</v>
      </c>
    </row>
    <row r="29" spans="1:16" ht="13.5" customHeight="1">
      <c r="A29" s="507"/>
      <c r="B29" s="64" t="s">
        <v>187</v>
      </c>
      <c r="C29" s="508"/>
      <c r="D29" s="176">
        <v>0</v>
      </c>
      <c r="E29" s="176">
        <v>0</v>
      </c>
      <c r="F29" s="176">
        <v>0</v>
      </c>
      <c r="G29" s="180">
        <v>0</v>
      </c>
      <c r="H29" s="180">
        <v>0</v>
      </c>
      <c r="I29" s="180">
        <v>0</v>
      </c>
      <c r="J29" s="181">
        <v>0</v>
      </c>
    </row>
    <row r="30" spans="1:16" ht="13.5" customHeight="1">
      <c r="A30" s="507"/>
      <c r="B30" s="61" t="s">
        <v>186</v>
      </c>
      <c r="C30" s="508"/>
      <c r="D30" s="93">
        <v>0</v>
      </c>
      <c r="E30" s="93">
        <v>0</v>
      </c>
      <c r="F30" s="93">
        <v>0</v>
      </c>
      <c r="G30" s="465">
        <v>0</v>
      </c>
      <c r="H30" s="465">
        <v>0</v>
      </c>
      <c r="I30" s="465">
        <v>0</v>
      </c>
      <c r="J30" s="466">
        <v>0</v>
      </c>
    </row>
    <row r="31" spans="1:16" s="62" customFormat="1" ht="14.25">
      <c r="A31" s="507">
        <v>5</v>
      </c>
      <c r="B31" s="65" t="s">
        <v>200</v>
      </c>
      <c r="C31" s="508" t="s">
        <v>194</v>
      </c>
      <c r="D31" s="94">
        <v>645.38</v>
      </c>
      <c r="E31" s="94">
        <f>SUM(E32:E36)</f>
        <v>27.5</v>
      </c>
      <c r="F31" s="94">
        <v>645.38</v>
      </c>
      <c r="G31" s="94">
        <v>645.38</v>
      </c>
      <c r="H31" s="94">
        <v>645.38</v>
      </c>
      <c r="I31" s="94">
        <v>645.38</v>
      </c>
      <c r="J31" s="101">
        <v>645.38</v>
      </c>
    </row>
    <row r="32" spans="1:16" ht="16.5" customHeight="1">
      <c r="A32" s="507"/>
      <c r="B32" s="61" t="s">
        <v>179</v>
      </c>
      <c r="C32" s="508"/>
      <c r="D32" s="178">
        <f>D31-D33-D34</f>
        <v>410</v>
      </c>
      <c r="E32" s="176">
        <v>0</v>
      </c>
      <c r="F32" s="176">
        <f>F31-F33-F34</f>
        <v>437.5</v>
      </c>
      <c r="G32" s="176">
        <f>G31-G33-G34</f>
        <v>454.14</v>
      </c>
      <c r="H32" s="176">
        <f>H31-H33-H34</f>
        <v>465.64000000000004</v>
      </c>
      <c r="I32" s="176">
        <f>I31-I33-I34</f>
        <v>476.6</v>
      </c>
      <c r="J32" s="177">
        <f>J31-J33-J34</f>
        <v>498.53000000000003</v>
      </c>
    </row>
    <row r="33" spans="1:10" ht="13.5" customHeight="1">
      <c r="A33" s="507"/>
      <c r="B33" s="61" t="s">
        <v>189</v>
      </c>
      <c r="C33" s="508"/>
      <c r="D33" s="176">
        <v>198.64</v>
      </c>
      <c r="E33" s="176">
        <v>19.7</v>
      </c>
      <c r="F33" s="176">
        <f>D33-E33</f>
        <v>178.94</v>
      </c>
      <c r="G33" s="176">
        <f>F33-6.1</f>
        <v>172.84</v>
      </c>
      <c r="H33" s="176">
        <f>G33-5.8</f>
        <v>167.04</v>
      </c>
      <c r="I33" s="176">
        <f>H33-6.87</f>
        <v>160.16999999999999</v>
      </c>
      <c r="J33" s="179">
        <f>I33-17.1</f>
        <v>143.07</v>
      </c>
    </row>
    <row r="34" spans="1:10" ht="13.5" customHeight="1">
      <c r="A34" s="507"/>
      <c r="B34" s="64" t="s">
        <v>188</v>
      </c>
      <c r="C34" s="508"/>
      <c r="D34" s="176">
        <v>36.74</v>
      </c>
      <c r="E34" s="176">
        <v>7.8</v>
      </c>
      <c r="F34" s="176">
        <f>D34-E34</f>
        <v>28.94</v>
      </c>
      <c r="G34" s="176">
        <v>18.399999999999999</v>
      </c>
      <c r="H34" s="176">
        <v>12.7</v>
      </c>
      <c r="I34" s="176">
        <v>8.61</v>
      </c>
      <c r="J34" s="177">
        <v>3.78</v>
      </c>
    </row>
    <row r="35" spans="1:10" ht="13.5" customHeight="1">
      <c r="A35" s="507"/>
      <c r="B35" s="64" t="s">
        <v>187</v>
      </c>
      <c r="C35" s="508"/>
      <c r="D35" s="176">
        <v>0</v>
      </c>
      <c r="E35" s="176">
        <v>0</v>
      </c>
      <c r="F35" s="176">
        <v>0</v>
      </c>
      <c r="G35" s="180">
        <v>0</v>
      </c>
      <c r="H35" s="180">
        <v>0</v>
      </c>
      <c r="I35" s="180">
        <v>0</v>
      </c>
      <c r="J35" s="181">
        <v>0</v>
      </c>
    </row>
    <row r="36" spans="1:10" ht="13.5" customHeight="1">
      <c r="A36" s="507"/>
      <c r="B36" s="61" t="s">
        <v>186</v>
      </c>
      <c r="C36" s="508"/>
      <c r="D36" s="176">
        <v>0</v>
      </c>
      <c r="E36" s="176">
        <v>0</v>
      </c>
      <c r="F36" s="176">
        <v>0</v>
      </c>
      <c r="G36" s="180">
        <v>0</v>
      </c>
      <c r="H36" s="180">
        <v>0</v>
      </c>
      <c r="I36" s="180">
        <v>0</v>
      </c>
      <c r="J36" s="181">
        <v>0</v>
      </c>
    </row>
    <row r="37" spans="1:10" s="62" customFormat="1" ht="15" customHeight="1">
      <c r="A37" s="507">
        <v>6</v>
      </c>
      <c r="B37" s="65" t="s">
        <v>199</v>
      </c>
      <c r="C37" s="508" t="s">
        <v>194</v>
      </c>
      <c r="D37" s="94">
        <v>0</v>
      </c>
      <c r="E37" s="94">
        <v>0</v>
      </c>
      <c r="F37" s="94">
        <v>0</v>
      </c>
      <c r="G37" s="94">
        <v>0</v>
      </c>
      <c r="H37" s="94">
        <v>0</v>
      </c>
      <c r="I37" s="94">
        <v>0</v>
      </c>
      <c r="J37" s="101">
        <v>0</v>
      </c>
    </row>
    <row r="38" spans="1:10" ht="13.5" customHeight="1">
      <c r="A38" s="507"/>
      <c r="B38" s="61" t="s">
        <v>179</v>
      </c>
      <c r="C38" s="508"/>
      <c r="D38" s="93">
        <v>0</v>
      </c>
      <c r="E38" s="93">
        <v>0</v>
      </c>
      <c r="F38" s="93">
        <v>0</v>
      </c>
      <c r="G38" s="93">
        <v>0</v>
      </c>
      <c r="H38" s="93">
        <v>0</v>
      </c>
      <c r="I38" s="93">
        <v>0</v>
      </c>
      <c r="J38" s="100">
        <v>0</v>
      </c>
    </row>
    <row r="39" spans="1:10" ht="13.5" customHeight="1">
      <c r="A39" s="507"/>
      <c r="B39" s="61" t="s">
        <v>189</v>
      </c>
      <c r="C39" s="508"/>
      <c r="D39" s="93">
        <v>0</v>
      </c>
      <c r="E39" s="93">
        <v>0</v>
      </c>
      <c r="F39" s="93">
        <v>0</v>
      </c>
      <c r="G39" s="93">
        <v>0</v>
      </c>
      <c r="H39" s="93">
        <v>0</v>
      </c>
      <c r="I39" s="93">
        <v>0</v>
      </c>
      <c r="J39" s="100">
        <v>0</v>
      </c>
    </row>
    <row r="40" spans="1:10">
      <c r="A40" s="507"/>
      <c r="B40" s="64" t="s">
        <v>188</v>
      </c>
      <c r="C40" s="508"/>
      <c r="D40" s="93">
        <v>0</v>
      </c>
      <c r="E40" s="93">
        <v>0</v>
      </c>
      <c r="F40" s="93">
        <v>0</v>
      </c>
      <c r="G40" s="93">
        <v>0</v>
      </c>
      <c r="H40" s="93">
        <v>0</v>
      </c>
      <c r="I40" s="93">
        <v>0</v>
      </c>
      <c r="J40" s="100">
        <v>0</v>
      </c>
    </row>
    <row r="41" spans="1:10" ht="13.5" customHeight="1">
      <c r="A41" s="507"/>
      <c r="B41" s="61" t="s">
        <v>187</v>
      </c>
      <c r="C41" s="508"/>
      <c r="D41" s="93">
        <v>0</v>
      </c>
      <c r="E41" s="93">
        <v>0</v>
      </c>
      <c r="F41" s="93">
        <v>0</v>
      </c>
      <c r="G41" s="93">
        <v>0</v>
      </c>
      <c r="H41" s="93">
        <v>0</v>
      </c>
      <c r="I41" s="93">
        <v>0</v>
      </c>
      <c r="J41" s="100">
        <v>0</v>
      </c>
    </row>
    <row r="42" spans="1:10" ht="13.5" customHeight="1">
      <c r="A42" s="507"/>
      <c r="B42" s="61" t="s">
        <v>186</v>
      </c>
      <c r="C42" s="508"/>
      <c r="D42" s="93">
        <v>0</v>
      </c>
      <c r="E42" s="93">
        <v>0</v>
      </c>
      <c r="F42" s="93">
        <v>0</v>
      </c>
      <c r="G42" s="93">
        <v>0</v>
      </c>
      <c r="H42" s="93">
        <v>0</v>
      </c>
      <c r="I42" s="93">
        <v>0</v>
      </c>
      <c r="J42" s="100">
        <v>0</v>
      </c>
    </row>
    <row r="43" spans="1:10" s="62" customFormat="1" ht="14.25">
      <c r="A43" s="507">
        <v>7</v>
      </c>
      <c r="B43" s="65" t="s">
        <v>198</v>
      </c>
      <c r="C43" s="508" t="s">
        <v>194</v>
      </c>
      <c r="D43" s="94">
        <v>0</v>
      </c>
      <c r="E43" s="94">
        <v>0</v>
      </c>
      <c r="F43" s="94">
        <v>0</v>
      </c>
      <c r="G43" s="94">
        <v>0</v>
      </c>
      <c r="H43" s="94">
        <v>0</v>
      </c>
      <c r="I43" s="94">
        <v>0</v>
      </c>
      <c r="J43" s="101">
        <v>0</v>
      </c>
    </row>
    <row r="44" spans="1:10" ht="13.5" customHeight="1">
      <c r="A44" s="507"/>
      <c r="B44" s="61" t="s">
        <v>179</v>
      </c>
      <c r="C44" s="508"/>
      <c r="D44" s="93">
        <v>0</v>
      </c>
      <c r="E44" s="93">
        <v>0</v>
      </c>
      <c r="F44" s="93">
        <v>0</v>
      </c>
      <c r="G44" s="93">
        <v>0</v>
      </c>
      <c r="H44" s="93">
        <v>0</v>
      </c>
      <c r="I44" s="93">
        <v>0</v>
      </c>
      <c r="J44" s="100">
        <v>0</v>
      </c>
    </row>
    <row r="45" spans="1:10" ht="13.5" customHeight="1">
      <c r="A45" s="507"/>
      <c r="B45" s="61" t="s">
        <v>189</v>
      </c>
      <c r="C45" s="508"/>
      <c r="D45" s="93">
        <v>0</v>
      </c>
      <c r="E45" s="93">
        <v>0</v>
      </c>
      <c r="F45" s="93">
        <v>0</v>
      </c>
      <c r="G45" s="93">
        <v>0</v>
      </c>
      <c r="H45" s="93">
        <v>0</v>
      </c>
      <c r="I45" s="93">
        <v>0</v>
      </c>
      <c r="J45" s="100">
        <v>0</v>
      </c>
    </row>
    <row r="46" spans="1:10" ht="13.5" customHeight="1">
      <c r="A46" s="507"/>
      <c r="B46" s="64" t="s">
        <v>188</v>
      </c>
      <c r="C46" s="508"/>
      <c r="D46" s="93">
        <v>0</v>
      </c>
      <c r="E46" s="93">
        <v>0</v>
      </c>
      <c r="F46" s="93">
        <v>0</v>
      </c>
      <c r="G46" s="93">
        <v>0</v>
      </c>
      <c r="H46" s="93">
        <v>0</v>
      </c>
      <c r="I46" s="93">
        <v>0</v>
      </c>
      <c r="J46" s="100">
        <v>0</v>
      </c>
    </row>
    <row r="47" spans="1:10" ht="13.5" customHeight="1">
      <c r="A47" s="507"/>
      <c r="B47" s="61" t="s">
        <v>187</v>
      </c>
      <c r="C47" s="508"/>
      <c r="D47" s="93">
        <v>0</v>
      </c>
      <c r="E47" s="93">
        <v>0</v>
      </c>
      <c r="F47" s="93">
        <v>0</v>
      </c>
      <c r="G47" s="93">
        <v>0</v>
      </c>
      <c r="H47" s="93">
        <v>0</v>
      </c>
      <c r="I47" s="93">
        <v>0</v>
      </c>
      <c r="J47" s="100">
        <v>0</v>
      </c>
    </row>
    <row r="48" spans="1:10" ht="13.5" customHeight="1">
      <c r="A48" s="507"/>
      <c r="B48" s="61" t="s">
        <v>186</v>
      </c>
      <c r="C48" s="508"/>
      <c r="D48" s="93">
        <v>0</v>
      </c>
      <c r="E48" s="93">
        <v>0</v>
      </c>
      <c r="F48" s="93">
        <v>0</v>
      </c>
      <c r="G48" s="93">
        <v>0</v>
      </c>
      <c r="H48" s="93">
        <v>0</v>
      </c>
      <c r="I48" s="93">
        <v>0</v>
      </c>
      <c r="J48" s="100">
        <v>0</v>
      </c>
    </row>
    <row r="49" spans="1:10" s="62" customFormat="1" ht="14.25">
      <c r="A49" s="507">
        <v>8</v>
      </c>
      <c r="B49" s="65" t="s">
        <v>197</v>
      </c>
      <c r="C49" s="508" t="s">
        <v>194</v>
      </c>
      <c r="D49" s="94">
        <v>0</v>
      </c>
      <c r="E49" s="94">
        <v>0</v>
      </c>
      <c r="F49" s="94">
        <v>0</v>
      </c>
      <c r="G49" s="94">
        <f>SUM(G50:G54)</f>
        <v>6.3</v>
      </c>
      <c r="H49" s="94">
        <f t="shared" ref="H49:J49" si="2">SUM(H50:H54)</f>
        <v>7.6</v>
      </c>
      <c r="I49" s="94">
        <f t="shared" si="2"/>
        <v>8.9</v>
      </c>
      <c r="J49" s="94">
        <f t="shared" si="2"/>
        <v>8.9</v>
      </c>
    </row>
    <row r="50" spans="1:10" ht="13.5" customHeight="1">
      <c r="A50" s="507"/>
      <c r="B50" s="61" t="s">
        <v>179</v>
      </c>
      <c r="C50" s="508"/>
      <c r="D50" s="93">
        <v>0</v>
      </c>
      <c r="E50" s="93">
        <v>0</v>
      </c>
      <c r="F50" s="176">
        <v>0</v>
      </c>
      <c r="G50" s="176">
        <v>6.3</v>
      </c>
      <c r="H50" s="176">
        <v>7.6</v>
      </c>
      <c r="I50" s="176">
        <v>8.9</v>
      </c>
      <c r="J50" s="176">
        <v>8.9</v>
      </c>
    </row>
    <row r="51" spans="1:10" ht="13.5" customHeight="1">
      <c r="A51" s="507"/>
      <c r="B51" s="61" t="s">
        <v>189</v>
      </c>
      <c r="C51" s="508"/>
      <c r="D51" s="93">
        <v>0</v>
      </c>
      <c r="E51" s="93">
        <v>0</v>
      </c>
      <c r="F51" s="93">
        <v>0</v>
      </c>
      <c r="G51" s="93">
        <v>0</v>
      </c>
      <c r="H51" s="93">
        <v>0</v>
      </c>
      <c r="I51" s="93">
        <v>0</v>
      </c>
      <c r="J51" s="100">
        <v>0</v>
      </c>
    </row>
    <row r="52" spans="1:10" ht="13.5" customHeight="1">
      <c r="A52" s="507"/>
      <c r="B52" s="64" t="s">
        <v>188</v>
      </c>
      <c r="C52" s="508"/>
      <c r="D52" s="93">
        <v>0</v>
      </c>
      <c r="E52" s="93">
        <v>0</v>
      </c>
      <c r="F52" s="93">
        <v>0</v>
      </c>
      <c r="G52" s="93">
        <v>0</v>
      </c>
      <c r="H52" s="93">
        <v>0</v>
      </c>
      <c r="I52" s="93">
        <v>0</v>
      </c>
      <c r="J52" s="100">
        <v>0</v>
      </c>
    </row>
    <row r="53" spans="1:10" ht="13.5" customHeight="1">
      <c r="A53" s="507"/>
      <c r="B53" s="61" t="s">
        <v>187</v>
      </c>
      <c r="C53" s="508"/>
      <c r="D53" s="93">
        <v>0</v>
      </c>
      <c r="E53" s="93">
        <v>0</v>
      </c>
      <c r="F53" s="93">
        <v>0</v>
      </c>
      <c r="G53" s="93">
        <v>0</v>
      </c>
      <c r="H53" s="93">
        <v>0</v>
      </c>
      <c r="I53" s="93">
        <v>0</v>
      </c>
      <c r="J53" s="100">
        <v>0</v>
      </c>
    </row>
    <row r="54" spans="1:10" ht="13.5" customHeight="1">
      <c r="A54" s="507"/>
      <c r="B54" s="61" t="s">
        <v>186</v>
      </c>
      <c r="C54" s="508"/>
      <c r="D54" s="93">
        <v>0</v>
      </c>
      <c r="E54" s="93">
        <v>0</v>
      </c>
      <c r="F54" s="93">
        <v>0</v>
      </c>
      <c r="G54" s="93">
        <v>0</v>
      </c>
      <c r="H54" s="93">
        <v>0</v>
      </c>
      <c r="I54" s="93">
        <v>0</v>
      </c>
      <c r="J54" s="100">
        <v>0</v>
      </c>
    </row>
    <row r="55" spans="1:10" s="62" customFormat="1" ht="14.25">
      <c r="A55" s="507">
        <v>9</v>
      </c>
      <c r="B55" s="65" t="s">
        <v>196</v>
      </c>
      <c r="C55" s="508" t="s">
        <v>194</v>
      </c>
      <c r="D55" s="94">
        <v>471.55</v>
      </c>
      <c r="E55" s="94">
        <f>SUM(E56:E60)</f>
        <v>0.35</v>
      </c>
      <c r="F55" s="94">
        <f>D55</f>
        <v>471.55</v>
      </c>
      <c r="G55" s="94">
        <f>F55+1.9</f>
        <v>473.45</v>
      </c>
      <c r="H55" s="94">
        <f>G55+0.8</f>
        <v>474.25</v>
      </c>
      <c r="I55" s="94">
        <f>H55+1.9</f>
        <v>476.15</v>
      </c>
      <c r="J55" s="101">
        <f>I55+11.33</f>
        <v>487.47999999999996</v>
      </c>
    </row>
    <row r="56" spans="1:10" ht="16.5" customHeight="1">
      <c r="A56" s="507"/>
      <c r="B56" s="61" t="s">
        <v>179</v>
      </c>
      <c r="C56" s="508"/>
      <c r="D56" s="178">
        <f>D55-D57-D58</f>
        <v>186.12</v>
      </c>
      <c r="E56" s="176">
        <v>0</v>
      </c>
      <c r="F56" s="178">
        <f>F55-F57-F58</f>
        <v>186.47</v>
      </c>
      <c r="G56" s="178">
        <f>G55-G57-G58</f>
        <v>194.01999999999998</v>
      </c>
      <c r="H56" s="178">
        <f>H55-H57-H58</f>
        <v>199.46999999999997</v>
      </c>
      <c r="I56" s="178">
        <f>I55-I57-I58</f>
        <v>211.46999999999991</v>
      </c>
      <c r="J56" s="177">
        <f>J55-J57-J58</f>
        <v>236.24999999999989</v>
      </c>
    </row>
    <row r="57" spans="1:10" ht="15.75" customHeight="1">
      <c r="A57" s="507"/>
      <c r="B57" s="61" t="s">
        <v>189</v>
      </c>
      <c r="C57" s="508"/>
      <c r="D57" s="178">
        <v>283.93</v>
      </c>
      <c r="E57" s="176">
        <v>0</v>
      </c>
      <c r="F57" s="176">
        <f>D57-E57</f>
        <v>283.93</v>
      </c>
      <c r="G57" s="176">
        <f>F57-5.45</f>
        <v>278.48</v>
      </c>
      <c r="H57" s="176">
        <f>G57-4.4</f>
        <v>274.08000000000004</v>
      </c>
      <c r="I57" s="176">
        <f>H57-9.9</f>
        <v>264.18000000000006</v>
      </c>
      <c r="J57" s="177">
        <f>I57-13.2</f>
        <v>250.98000000000008</v>
      </c>
    </row>
    <row r="58" spans="1:10" ht="13.5" customHeight="1">
      <c r="A58" s="507"/>
      <c r="B58" s="64" t="s">
        <v>188</v>
      </c>
      <c r="C58" s="508"/>
      <c r="D58" s="178">
        <v>1.5</v>
      </c>
      <c r="E58" s="176">
        <v>0.35</v>
      </c>
      <c r="F58" s="176">
        <f>D58-E58</f>
        <v>1.1499999999999999</v>
      </c>
      <c r="G58" s="176">
        <v>0.95</v>
      </c>
      <c r="H58" s="178">
        <v>0.7</v>
      </c>
      <c r="I58" s="178">
        <v>0.5</v>
      </c>
      <c r="J58" s="177">
        <v>0.25</v>
      </c>
    </row>
    <row r="59" spans="1:10" ht="13.5" customHeight="1">
      <c r="A59" s="507"/>
      <c r="B59" s="61" t="s">
        <v>187</v>
      </c>
      <c r="C59" s="508"/>
      <c r="D59" s="176">
        <v>0</v>
      </c>
      <c r="E59" s="176">
        <v>0</v>
      </c>
      <c r="F59" s="176">
        <v>0</v>
      </c>
      <c r="G59" s="176">
        <v>0</v>
      </c>
      <c r="H59" s="176">
        <v>0</v>
      </c>
      <c r="I59" s="176">
        <v>0</v>
      </c>
      <c r="J59" s="177">
        <v>0</v>
      </c>
    </row>
    <row r="60" spans="1:10" ht="13.5" customHeight="1">
      <c r="A60" s="507"/>
      <c r="B60" s="61" t="s">
        <v>186</v>
      </c>
      <c r="C60" s="508"/>
      <c r="D60" s="176">
        <v>0</v>
      </c>
      <c r="E60" s="176">
        <v>0</v>
      </c>
      <c r="F60" s="176">
        <v>0</v>
      </c>
      <c r="G60" s="176">
        <v>0</v>
      </c>
      <c r="H60" s="176">
        <v>0</v>
      </c>
      <c r="I60" s="176">
        <v>0</v>
      </c>
      <c r="J60" s="177">
        <v>0</v>
      </c>
    </row>
    <row r="61" spans="1:10" s="62" customFormat="1" ht="14.25">
      <c r="A61" s="507">
        <v>10</v>
      </c>
      <c r="B61" s="65" t="s">
        <v>195</v>
      </c>
      <c r="C61" s="508" t="s">
        <v>194</v>
      </c>
      <c r="D61" s="94">
        <v>313.52</v>
      </c>
      <c r="E61" s="94">
        <f>SUM(E62:E66)</f>
        <v>0.8</v>
      </c>
      <c r="F61" s="94">
        <f>D61</f>
        <v>313.52</v>
      </c>
      <c r="G61" s="94">
        <f>F61+0.1</f>
        <v>313.62</v>
      </c>
      <c r="H61" s="94">
        <f>G61+1.7</f>
        <v>315.32</v>
      </c>
      <c r="I61" s="94">
        <f>H61</f>
        <v>315.32</v>
      </c>
      <c r="J61" s="101">
        <f>I61+0.2</f>
        <v>315.52</v>
      </c>
    </row>
    <row r="62" spans="1:10" ht="27" customHeight="1">
      <c r="A62" s="507"/>
      <c r="B62" s="61" t="s">
        <v>179</v>
      </c>
      <c r="C62" s="508"/>
      <c r="D62" s="178">
        <f>D61-D63-D64</f>
        <v>154.15999999999997</v>
      </c>
      <c r="E62" s="176">
        <v>0</v>
      </c>
      <c r="F62" s="178">
        <f>F61-F63-F64</f>
        <v>154.95999999999998</v>
      </c>
      <c r="G62" s="178">
        <f>G61-G63-G64</f>
        <v>158.60999999999999</v>
      </c>
      <c r="H62" s="178">
        <f>H61-H63-H64</f>
        <v>163.63999999999999</v>
      </c>
      <c r="I62" s="178">
        <f>I61-I63-I64</f>
        <v>165.93999999999997</v>
      </c>
      <c r="J62" s="179">
        <f>J61-J63-J64</f>
        <v>169.48999999999998</v>
      </c>
    </row>
    <row r="63" spans="1:10" ht="13.5" customHeight="1">
      <c r="A63" s="507"/>
      <c r="B63" s="61" t="s">
        <v>189</v>
      </c>
      <c r="C63" s="508"/>
      <c r="D63" s="176">
        <v>158.36000000000001</v>
      </c>
      <c r="E63" s="176">
        <v>0.5</v>
      </c>
      <c r="F63" s="176">
        <f>D63-E63</f>
        <v>157.86000000000001</v>
      </c>
      <c r="G63" s="176">
        <f>F63-3.4</f>
        <v>154.46</v>
      </c>
      <c r="H63" s="176">
        <f>G63-3.1</f>
        <v>151.36000000000001</v>
      </c>
      <c r="I63" s="176">
        <f>H63-2.13</f>
        <v>149.23000000000002</v>
      </c>
      <c r="J63" s="177">
        <f>I63-3.27</f>
        <v>145.96</v>
      </c>
    </row>
    <row r="64" spans="1:10" ht="13.5" customHeight="1">
      <c r="A64" s="507"/>
      <c r="B64" s="64" t="s">
        <v>188</v>
      </c>
      <c r="C64" s="508"/>
      <c r="D64" s="182">
        <v>1</v>
      </c>
      <c r="E64" s="178">
        <v>0.3</v>
      </c>
      <c r="F64" s="178">
        <f>D64-E64</f>
        <v>0.7</v>
      </c>
      <c r="G64" s="176">
        <v>0.55000000000000004</v>
      </c>
      <c r="H64" s="176">
        <v>0.32</v>
      </c>
      <c r="I64" s="176">
        <v>0.15</v>
      </c>
      <c r="J64" s="177">
        <v>7.0000000000000007E-2</v>
      </c>
    </row>
    <row r="65" spans="1:10" ht="13.5" customHeight="1">
      <c r="A65" s="507"/>
      <c r="B65" s="61" t="s">
        <v>187</v>
      </c>
      <c r="C65" s="508"/>
      <c r="D65" s="176">
        <v>0</v>
      </c>
      <c r="E65" s="176">
        <v>0</v>
      </c>
      <c r="F65" s="176">
        <v>0</v>
      </c>
      <c r="G65" s="176">
        <v>0</v>
      </c>
      <c r="H65" s="176">
        <v>0</v>
      </c>
      <c r="I65" s="176">
        <v>0</v>
      </c>
      <c r="J65" s="177">
        <v>0</v>
      </c>
    </row>
    <row r="66" spans="1:10" ht="13.5" customHeight="1">
      <c r="A66" s="507"/>
      <c r="B66" s="61" t="s">
        <v>186</v>
      </c>
      <c r="C66" s="508"/>
      <c r="D66" s="176">
        <v>0</v>
      </c>
      <c r="E66" s="176">
        <v>0</v>
      </c>
      <c r="F66" s="176">
        <v>0</v>
      </c>
      <c r="G66" s="176">
        <v>0</v>
      </c>
      <c r="H66" s="176">
        <v>0</v>
      </c>
      <c r="I66" s="176">
        <v>0</v>
      </c>
      <c r="J66" s="177">
        <v>0</v>
      </c>
    </row>
    <row r="67" spans="1:10" s="62" customFormat="1" ht="28.5">
      <c r="A67" s="507">
        <v>11</v>
      </c>
      <c r="B67" s="63" t="s">
        <v>193</v>
      </c>
      <c r="C67" s="508" t="s">
        <v>180</v>
      </c>
      <c r="D67" s="94">
        <v>0</v>
      </c>
      <c r="E67" s="94">
        <v>0</v>
      </c>
      <c r="F67" s="94">
        <v>0</v>
      </c>
      <c r="G67" s="94">
        <v>0</v>
      </c>
      <c r="H67" s="94">
        <v>0</v>
      </c>
      <c r="I67" s="94">
        <v>0</v>
      </c>
      <c r="J67" s="101">
        <v>0</v>
      </c>
    </row>
    <row r="68" spans="1:10" ht="13.5" customHeight="1">
      <c r="A68" s="507"/>
      <c r="B68" s="61" t="s">
        <v>179</v>
      </c>
      <c r="C68" s="508"/>
      <c r="D68" s="93">
        <v>0</v>
      </c>
      <c r="E68" s="93">
        <v>0</v>
      </c>
      <c r="F68" s="93">
        <v>0</v>
      </c>
      <c r="G68" s="93">
        <v>0</v>
      </c>
      <c r="H68" s="93">
        <v>0</v>
      </c>
      <c r="I68" s="93">
        <v>0</v>
      </c>
      <c r="J68" s="100">
        <v>0</v>
      </c>
    </row>
    <row r="69" spans="1:10" ht="13.5" customHeight="1">
      <c r="A69" s="507"/>
      <c r="B69" s="61" t="s">
        <v>189</v>
      </c>
      <c r="C69" s="508"/>
      <c r="D69" s="93">
        <v>0</v>
      </c>
      <c r="E69" s="93">
        <v>0</v>
      </c>
      <c r="F69" s="93">
        <v>0</v>
      </c>
      <c r="G69" s="93">
        <v>0</v>
      </c>
      <c r="H69" s="93">
        <v>0</v>
      </c>
      <c r="I69" s="93">
        <v>0</v>
      </c>
      <c r="J69" s="100">
        <v>0</v>
      </c>
    </row>
    <row r="70" spans="1:10" ht="13.5" customHeight="1">
      <c r="A70" s="507"/>
      <c r="B70" s="64" t="s">
        <v>188</v>
      </c>
      <c r="C70" s="508"/>
      <c r="D70" s="93">
        <v>0</v>
      </c>
      <c r="E70" s="93">
        <v>0</v>
      </c>
      <c r="F70" s="93">
        <v>0</v>
      </c>
      <c r="G70" s="93">
        <v>0</v>
      </c>
      <c r="H70" s="93">
        <v>0</v>
      </c>
      <c r="I70" s="93">
        <v>0</v>
      </c>
      <c r="J70" s="100">
        <v>0</v>
      </c>
    </row>
    <row r="71" spans="1:10" ht="13.5" customHeight="1">
      <c r="A71" s="507"/>
      <c r="B71" s="61" t="s">
        <v>187</v>
      </c>
      <c r="C71" s="508"/>
      <c r="D71" s="93">
        <v>0</v>
      </c>
      <c r="E71" s="93">
        <v>0</v>
      </c>
      <c r="F71" s="93">
        <v>0</v>
      </c>
      <c r="G71" s="93">
        <v>0</v>
      </c>
      <c r="H71" s="93">
        <v>0</v>
      </c>
      <c r="I71" s="93">
        <v>0</v>
      </c>
      <c r="J71" s="100">
        <v>0</v>
      </c>
    </row>
    <row r="72" spans="1:10" s="62" customFormat="1" ht="28.5">
      <c r="A72" s="507">
        <v>12</v>
      </c>
      <c r="B72" s="63" t="s">
        <v>192</v>
      </c>
      <c r="C72" s="508" t="s">
        <v>180</v>
      </c>
      <c r="D72" s="94">
        <v>8</v>
      </c>
      <c r="E72" s="167">
        <f>SUM(E73:E76)</f>
        <v>1</v>
      </c>
      <c r="F72" s="94">
        <v>8</v>
      </c>
      <c r="G72" s="94">
        <v>8</v>
      </c>
      <c r="H72" s="94">
        <v>8</v>
      </c>
      <c r="I72" s="94">
        <v>8</v>
      </c>
      <c r="J72" s="101">
        <v>8</v>
      </c>
    </row>
    <row r="73" spans="1:10" ht="13.5" customHeight="1">
      <c r="A73" s="507"/>
      <c r="B73" s="61" t="s">
        <v>179</v>
      </c>
      <c r="C73" s="508"/>
      <c r="D73" s="183">
        <f>D72-D74-D75</f>
        <v>0</v>
      </c>
      <c r="E73" s="176">
        <v>0</v>
      </c>
      <c r="F73" s="183">
        <f>F72-F74-F75</f>
        <v>1</v>
      </c>
      <c r="G73" s="183">
        <f>G72-G74-G75</f>
        <v>1</v>
      </c>
      <c r="H73" s="183">
        <f>H72-H74-H75</f>
        <v>2</v>
      </c>
      <c r="I73" s="183">
        <f>I72-I74-I75</f>
        <v>2</v>
      </c>
      <c r="J73" s="184">
        <f>J72-J74-J75</f>
        <v>3</v>
      </c>
    </row>
    <row r="74" spans="1:10" ht="13.5" customHeight="1">
      <c r="A74" s="507"/>
      <c r="B74" s="61" t="s">
        <v>189</v>
      </c>
      <c r="C74" s="508"/>
      <c r="D74" s="439">
        <v>8</v>
      </c>
      <c r="E74" s="439">
        <v>1</v>
      </c>
      <c r="F74" s="439">
        <v>7</v>
      </c>
      <c r="G74" s="439">
        <v>7</v>
      </c>
      <c r="H74" s="439">
        <v>6</v>
      </c>
      <c r="I74" s="439">
        <v>6</v>
      </c>
      <c r="J74" s="441">
        <v>5</v>
      </c>
    </row>
    <row r="75" spans="1:10" ht="13.5" customHeight="1">
      <c r="A75" s="507"/>
      <c r="B75" s="64" t="s">
        <v>188</v>
      </c>
      <c r="C75" s="508"/>
      <c r="D75" s="438">
        <v>0</v>
      </c>
      <c r="E75" s="438">
        <v>0</v>
      </c>
      <c r="F75" s="438">
        <v>0</v>
      </c>
      <c r="G75" s="438">
        <v>0</v>
      </c>
      <c r="H75" s="438">
        <v>0</v>
      </c>
      <c r="I75" s="438">
        <v>0</v>
      </c>
      <c r="J75" s="440">
        <v>0</v>
      </c>
    </row>
    <row r="76" spans="1:10" ht="13.5" customHeight="1">
      <c r="A76" s="507"/>
      <c r="B76" s="61" t="s">
        <v>187</v>
      </c>
      <c r="C76" s="508"/>
      <c r="D76" s="176">
        <v>0</v>
      </c>
      <c r="E76" s="176">
        <v>0</v>
      </c>
      <c r="F76" s="176">
        <v>0</v>
      </c>
      <c r="G76" s="176">
        <v>0</v>
      </c>
      <c r="H76" s="176">
        <v>0</v>
      </c>
      <c r="I76" s="176">
        <v>0</v>
      </c>
      <c r="J76" s="177">
        <v>0</v>
      </c>
    </row>
    <row r="77" spans="1:10" s="62" customFormat="1" ht="28.5">
      <c r="A77" s="507">
        <v>13</v>
      </c>
      <c r="B77" s="63" t="s">
        <v>191</v>
      </c>
      <c r="C77" s="508" t="s">
        <v>180</v>
      </c>
      <c r="D77" s="94">
        <v>22</v>
      </c>
      <c r="E77" s="167">
        <f>SUM(E78:E81)</f>
        <v>1</v>
      </c>
      <c r="F77" s="94">
        <v>22</v>
      </c>
      <c r="G77" s="94">
        <v>22</v>
      </c>
      <c r="H77" s="94">
        <v>22</v>
      </c>
      <c r="I77" s="94">
        <v>22</v>
      </c>
      <c r="J77" s="101">
        <v>22</v>
      </c>
    </row>
    <row r="78" spans="1:10" ht="13.5" customHeight="1">
      <c r="A78" s="507"/>
      <c r="B78" s="61" t="s">
        <v>179</v>
      </c>
      <c r="C78" s="508"/>
      <c r="D78" s="183">
        <f>D77-D79-D80</f>
        <v>0</v>
      </c>
      <c r="E78" s="176">
        <v>0</v>
      </c>
      <c r="F78" s="183">
        <f>F77-F79-F80</f>
        <v>2</v>
      </c>
      <c r="G78" s="183">
        <v>2</v>
      </c>
      <c r="H78" s="183">
        <f>H77-H79-H80</f>
        <v>4</v>
      </c>
      <c r="I78" s="183">
        <f>I77-I79-I80</f>
        <v>6</v>
      </c>
      <c r="J78" s="184">
        <f>J77-J79-J80</f>
        <v>7</v>
      </c>
    </row>
    <row r="79" spans="1:10" ht="13.5" customHeight="1">
      <c r="A79" s="507"/>
      <c r="B79" s="61" t="s">
        <v>189</v>
      </c>
      <c r="C79" s="508"/>
      <c r="D79" s="176">
        <v>21</v>
      </c>
      <c r="E79" s="176">
        <v>1</v>
      </c>
      <c r="F79" s="176">
        <f>D79-E79</f>
        <v>20</v>
      </c>
      <c r="G79" s="176">
        <v>20</v>
      </c>
      <c r="H79" s="176">
        <v>18</v>
      </c>
      <c r="I79" s="176">
        <v>16</v>
      </c>
      <c r="J79" s="177">
        <v>15</v>
      </c>
    </row>
    <row r="80" spans="1:10" ht="13.5" customHeight="1">
      <c r="A80" s="507"/>
      <c r="B80" s="64" t="s">
        <v>188</v>
      </c>
      <c r="C80" s="508"/>
      <c r="D80" s="176">
        <v>1</v>
      </c>
      <c r="E80" s="176">
        <v>0</v>
      </c>
      <c r="F80" s="176">
        <v>0</v>
      </c>
      <c r="G80" s="176">
        <v>0</v>
      </c>
      <c r="H80" s="176">
        <v>0</v>
      </c>
      <c r="I80" s="176">
        <v>0</v>
      </c>
      <c r="J80" s="177">
        <v>0</v>
      </c>
    </row>
    <row r="81" spans="1:10" ht="13.5" customHeight="1">
      <c r="A81" s="507"/>
      <c r="B81" s="61" t="s">
        <v>187</v>
      </c>
      <c r="C81" s="508"/>
      <c r="D81" s="176">
        <v>0</v>
      </c>
      <c r="E81" s="176">
        <v>0</v>
      </c>
      <c r="F81" s="176">
        <v>0</v>
      </c>
      <c r="G81" s="176">
        <v>0</v>
      </c>
      <c r="H81" s="176">
        <v>0</v>
      </c>
      <c r="I81" s="176">
        <v>0</v>
      </c>
      <c r="J81" s="177">
        <v>0</v>
      </c>
    </row>
    <row r="82" spans="1:10" s="62" customFormat="1" ht="42.75">
      <c r="A82" s="507">
        <v>14</v>
      </c>
      <c r="B82" s="65" t="s">
        <v>190</v>
      </c>
      <c r="C82" s="508" t="s">
        <v>180</v>
      </c>
      <c r="D82" s="94">
        <v>689</v>
      </c>
      <c r="E82" s="167">
        <f>SUM(E83:E86)</f>
        <v>108</v>
      </c>
      <c r="F82" s="94">
        <f>689</f>
        <v>689</v>
      </c>
      <c r="G82" s="94">
        <f>F82+3</f>
        <v>692</v>
      </c>
      <c r="H82" s="94">
        <f>G82+3</f>
        <v>695</v>
      </c>
      <c r="I82" s="94">
        <f>H82+2</f>
        <v>697</v>
      </c>
      <c r="J82" s="101">
        <f>I82+1</f>
        <v>698</v>
      </c>
    </row>
    <row r="83" spans="1:10" ht="13.5" customHeight="1">
      <c r="A83" s="507"/>
      <c r="B83" s="61" t="s">
        <v>179</v>
      </c>
      <c r="C83" s="508"/>
      <c r="D83" s="183">
        <f>D82-D84-D85</f>
        <v>313</v>
      </c>
      <c r="E83" s="176">
        <v>0</v>
      </c>
      <c r="F83" s="183">
        <f>F82-F84-F85</f>
        <v>421</v>
      </c>
      <c r="G83" s="183">
        <f>G82-G84-G85</f>
        <v>450</v>
      </c>
      <c r="H83" s="183">
        <f>H82-H84-H85</f>
        <v>494</v>
      </c>
      <c r="I83" s="183">
        <f>I82-I84-I85</f>
        <v>538</v>
      </c>
      <c r="J83" s="184">
        <f>J82-J84-J85</f>
        <v>583</v>
      </c>
    </row>
    <row r="84" spans="1:10" ht="13.5" customHeight="1">
      <c r="A84" s="507"/>
      <c r="B84" s="61" t="s">
        <v>189</v>
      </c>
      <c r="C84" s="508"/>
      <c r="D84" s="176">
        <v>311</v>
      </c>
      <c r="E84" s="176">
        <v>66</v>
      </c>
      <c r="F84" s="176">
        <f>D84-E84</f>
        <v>245</v>
      </c>
      <c r="G84" s="176">
        <f>F84-39</f>
        <v>206</v>
      </c>
      <c r="H84" s="176">
        <f>G84-30</f>
        <v>176</v>
      </c>
      <c r="I84" s="176">
        <f>H84-32</f>
        <v>144</v>
      </c>
      <c r="J84" s="181">
        <f>I84-36</f>
        <v>108</v>
      </c>
    </row>
    <row r="85" spans="1:10" ht="13.5" customHeight="1">
      <c r="A85" s="507"/>
      <c r="B85" s="64" t="s">
        <v>188</v>
      </c>
      <c r="C85" s="508"/>
      <c r="D85" s="176">
        <v>65</v>
      </c>
      <c r="E85" s="176">
        <v>42</v>
      </c>
      <c r="F85" s="176">
        <f>D85-E85</f>
        <v>23</v>
      </c>
      <c r="G85" s="176">
        <v>36</v>
      </c>
      <c r="H85" s="176">
        <v>25</v>
      </c>
      <c r="I85" s="176">
        <v>15</v>
      </c>
      <c r="J85" s="177">
        <v>7</v>
      </c>
    </row>
    <row r="86" spans="1:10" ht="13.5" customHeight="1">
      <c r="A86" s="507"/>
      <c r="B86" s="61" t="s">
        <v>187</v>
      </c>
      <c r="C86" s="508"/>
      <c r="D86" s="176">
        <v>0</v>
      </c>
      <c r="E86" s="176">
        <v>0</v>
      </c>
      <c r="F86" s="176">
        <v>0</v>
      </c>
      <c r="G86" s="176">
        <v>0</v>
      </c>
      <c r="H86" s="176">
        <v>0</v>
      </c>
      <c r="I86" s="176">
        <v>0</v>
      </c>
      <c r="J86" s="177">
        <v>0</v>
      </c>
    </row>
    <row r="87" spans="1:10" ht="13.5" customHeight="1">
      <c r="A87" s="507"/>
      <c r="B87" s="61" t="s">
        <v>186</v>
      </c>
      <c r="C87" s="508"/>
      <c r="D87" s="176">
        <v>0</v>
      </c>
      <c r="E87" s="176">
        <v>0</v>
      </c>
      <c r="F87" s="176">
        <v>0</v>
      </c>
      <c r="G87" s="176">
        <v>0</v>
      </c>
      <c r="H87" s="176">
        <v>0</v>
      </c>
      <c r="I87" s="176">
        <v>0</v>
      </c>
      <c r="J87" s="177">
        <v>0</v>
      </c>
    </row>
    <row r="88" spans="1:10" s="62" customFormat="1" ht="29.25" customHeight="1">
      <c r="A88" s="507">
        <v>15</v>
      </c>
      <c r="B88" s="63" t="s">
        <v>185</v>
      </c>
      <c r="C88" s="508" t="s">
        <v>180</v>
      </c>
      <c r="D88" s="92">
        <v>0</v>
      </c>
      <c r="E88" s="92">
        <v>0</v>
      </c>
      <c r="F88" s="92">
        <v>0</v>
      </c>
      <c r="G88" s="92">
        <v>0</v>
      </c>
      <c r="H88" s="92">
        <v>0</v>
      </c>
      <c r="I88" s="92">
        <v>0</v>
      </c>
      <c r="J88" s="99">
        <v>0</v>
      </c>
    </row>
    <row r="89" spans="1:10" ht="13.5" customHeight="1">
      <c r="A89" s="507"/>
      <c r="B89" s="61" t="s">
        <v>179</v>
      </c>
      <c r="C89" s="508"/>
      <c r="D89" s="93">
        <v>0</v>
      </c>
      <c r="E89" s="93">
        <v>0</v>
      </c>
      <c r="F89" s="93">
        <v>0</v>
      </c>
      <c r="G89" s="93">
        <v>0</v>
      </c>
      <c r="H89" s="93">
        <v>0</v>
      </c>
      <c r="I89" s="93">
        <v>0</v>
      </c>
      <c r="J89" s="100">
        <v>0</v>
      </c>
    </row>
    <row r="90" spans="1:10" ht="48" customHeight="1">
      <c r="A90" s="507"/>
      <c r="B90" s="61" t="s">
        <v>184</v>
      </c>
      <c r="C90" s="508"/>
      <c r="D90" s="93">
        <v>0</v>
      </c>
      <c r="E90" s="93">
        <v>0</v>
      </c>
      <c r="F90" s="93">
        <v>0</v>
      </c>
      <c r="G90" s="93">
        <v>0</v>
      </c>
      <c r="H90" s="93">
        <v>0</v>
      </c>
      <c r="I90" s="93">
        <v>0</v>
      </c>
      <c r="J90" s="100">
        <v>0</v>
      </c>
    </row>
    <row r="91" spans="1:10" ht="29.25" customHeight="1">
      <c r="A91" s="507"/>
      <c r="B91" s="61" t="s">
        <v>177</v>
      </c>
      <c r="C91" s="508"/>
      <c r="D91" s="93">
        <v>0</v>
      </c>
      <c r="E91" s="93">
        <v>0</v>
      </c>
      <c r="F91" s="93">
        <v>0</v>
      </c>
      <c r="G91" s="93">
        <v>0</v>
      </c>
      <c r="H91" s="93">
        <v>0</v>
      </c>
      <c r="I91" s="93">
        <v>0</v>
      </c>
      <c r="J91" s="100">
        <v>0</v>
      </c>
    </row>
    <row r="92" spans="1:10" s="62" customFormat="1" ht="43.5" customHeight="1">
      <c r="A92" s="507">
        <v>16</v>
      </c>
      <c r="B92" s="63" t="s">
        <v>183</v>
      </c>
      <c r="C92" s="508" t="s">
        <v>180</v>
      </c>
      <c r="D92" s="94">
        <v>14</v>
      </c>
      <c r="E92" s="167">
        <f>SUM(E93:E95)</f>
        <v>0</v>
      </c>
      <c r="F92" s="94">
        <v>14</v>
      </c>
      <c r="G92" s="94">
        <v>14</v>
      </c>
      <c r="H92" s="94">
        <v>14</v>
      </c>
      <c r="I92" s="94">
        <v>14</v>
      </c>
      <c r="J92" s="101">
        <v>14</v>
      </c>
    </row>
    <row r="93" spans="1:10" ht="13.5" customHeight="1">
      <c r="A93" s="507"/>
      <c r="B93" s="61" t="s">
        <v>179</v>
      </c>
      <c r="C93" s="508"/>
      <c r="D93" s="183">
        <f>D92-D94-D95</f>
        <v>1</v>
      </c>
      <c r="E93" s="176">
        <v>0</v>
      </c>
      <c r="F93" s="183">
        <f>F92-F94-F95</f>
        <v>1</v>
      </c>
      <c r="G93" s="183">
        <f>G92-G94-G95</f>
        <v>1</v>
      </c>
      <c r="H93" s="183">
        <f>H92-H94-H95</f>
        <v>1</v>
      </c>
      <c r="I93" s="183">
        <f>I92-I94-I95</f>
        <v>1</v>
      </c>
      <c r="J93" s="184">
        <f>J92-J94-J95</f>
        <v>2</v>
      </c>
    </row>
    <row r="94" spans="1:10" ht="27.75" customHeight="1">
      <c r="A94" s="507"/>
      <c r="B94" s="61" t="s">
        <v>178</v>
      </c>
      <c r="C94" s="508"/>
      <c r="D94" s="176">
        <v>12</v>
      </c>
      <c r="E94" s="176">
        <v>0</v>
      </c>
      <c r="F94" s="176">
        <f>D94-E94</f>
        <v>12</v>
      </c>
      <c r="G94" s="176">
        <v>12</v>
      </c>
      <c r="H94" s="176">
        <v>12</v>
      </c>
      <c r="I94" s="176">
        <v>12</v>
      </c>
      <c r="J94" s="177">
        <v>11</v>
      </c>
    </row>
    <row r="95" spans="1:10" ht="29.25" customHeight="1">
      <c r="A95" s="507"/>
      <c r="B95" s="61" t="s">
        <v>177</v>
      </c>
      <c r="C95" s="508"/>
      <c r="D95" s="176">
        <v>1</v>
      </c>
      <c r="E95" s="176">
        <v>0</v>
      </c>
      <c r="F95" s="176">
        <v>1</v>
      </c>
      <c r="G95" s="176">
        <v>1</v>
      </c>
      <c r="H95" s="176">
        <v>1</v>
      </c>
      <c r="I95" s="176">
        <v>1</v>
      </c>
      <c r="J95" s="177">
        <v>1</v>
      </c>
    </row>
    <row r="96" spans="1:10" s="62" customFormat="1" ht="27" customHeight="1">
      <c r="A96" s="507">
        <v>17</v>
      </c>
      <c r="B96" s="63" t="s">
        <v>182</v>
      </c>
      <c r="C96" s="508" t="s">
        <v>180</v>
      </c>
      <c r="D96" s="459">
        <v>40</v>
      </c>
      <c r="E96" s="460">
        <f>SUM(E97:E99)</f>
        <v>2</v>
      </c>
      <c r="F96" s="460">
        <f>SUM(F97:F99)</f>
        <v>40</v>
      </c>
      <c r="G96" s="459">
        <v>41</v>
      </c>
      <c r="H96" s="459">
        <v>41</v>
      </c>
      <c r="I96" s="459">
        <v>41</v>
      </c>
      <c r="J96" s="461">
        <v>41</v>
      </c>
    </row>
    <row r="97" spans="1:10" ht="20.25" customHeight="1">
      <c r="A97" s="507"/>
      <c r="B97" s="61" t="s">
        <v>179</v>
      </c>
      <c r="C97" s="508"/>
      <c r="D97" s="183">
        <f>D96-D98-D99</f>
        <v>15</v>
      </c>
      <c r="E97" s="176">
        <v>0</v>
      </c>
      <c r="F97" s="183">
        <v>17</v>
      </c>
      <c r="G97" s="183">
        <f>G96-G98-G99</f>
        <v>19</v>
      </c>
      <c r="H97" s="183">
        <f>H96-H98-H99</f>
        <v>19</v>
      </c>
      <c r="I97" s="183">
        <f>I96-I98-I99</f>
        <v>20</v>
      </c>
      <c r="J97" s="184">
        <f>J96-J98-J99</f>
        <v>20</v>
      </c>
    </row>
    <row r="98" spans="1:10" ht="26.25" customHeight="1">
      <c r="A98" s="507"/>
      <c r="B98" s="61" t="s">
        <v>178</v>
      </c>
      <c r="C98" s="508"/>
      <c r="D98" s="176">
        <v>25</v>
      </c>
      <c r="E98" s="176">
        <v>2</v>
      </c>
      <c r="F98" s="176">
        <f>D98-E98</f>
        <v>23</v>
      </c>
      <c r="G98" s="176">
        <v>22</v>
      </c>
      <c r="H98" s="176">
        <v>22</v>
      </c>
      <c r="I98" s="176">
        <v>21</v>
      </c>
      <c r="J98" s="177">
        <v>21</v>
      </c>
    </row>
    <row r="99" spans="1:10" ht="30" customHeight="1">
      <c r="A99" s="507"/>
      <c r="B99" s="61" t="s">
        <v>177</v>
      </c>
      <c r="C99" s="508"/>
      <c r="D99" s="176">
        <v>0</v>
      </c>
      <c r="E99" s="176">
        <v>0</v>
      </c>
      <c r="F99" s="176">
        <v>0</v>
      </c>
      <c r="G99" s="176">
        <v>0</v>
      </c>
      <c r="H99" s="176">
        <v>0</v>
      </c>
      <c r="I99" s="176">
        <v>0</v>
      </c>
      <c r="J99" s="177">
        <v>0</v>
      </c>
    </row>
    <row r="100" spans="1:10" s="62" customFormat="1" ht="29.25" customHeight="1">
      <c r="A100" s="507">
        <v>18</v>
      </c>
      <c r="B100" s="63" t="s">
        <v>181</v>
      </c>
      <c r="C100" s="508" t="s">
        <v>180</v>
      </c>
      <c r="D100" s="94">
        <v>928</v>
      </c>
      <c r="E100" s="167">
        <f>SUM(E101:E103)</f>
        <v>80</v>
      </c>
      <c r="F100" s="94">
        <v>928</v>
      </c>
      <c r="G100" s="94">
        <v>933</v>
      </c>
      <c r="H100" s="94">
        <v>937</v>
      </c>
      <c r="I100" s="94">
        <v>938</v>
      </c>
      <c r="J100" s="101">
        <v>940</v>
      </c>
    </row>
    <row r="101" spans="1:10" ht="17.25" customHeight="1">
      <c r="A101" s="507"/>
      <c r="B101" s="61" t="s">
        <v>179</v>
      </c>
      <c r="C101" s="508"/>
      <c r="D101" s="183">
        <f>D100-D102-D103</f>
        <v>370</v>
      </c>
      <c r="E101" s="176">
        <v>0</v>
      </c>
      <c r="F101" s="183">
        <f>F100-F102-F103</f>
        <v>450</v>
      </c>
      <c r="G101" s="183">
        <f>G100-G102-G103</f>
        <v>552</v>
      </c>
      <c r="H101" s="183">
        <f>H100-H102-H103</f>
        <v>606</v>
      </c>
      <c r="I101" s="183">
        <f>I100-I102-I103</f>
        <v>628</v>
      </c>
      <c r="J101" s="184">
        <f>J100-J102-J103</f>
        <v>670</v>
      </c>
    </row>
    <row r="102" spans="1:10" ht="29.25" customHeight="1">
      <c r="A102" s="507"/>
      <c r="B102" s="61" t="s">
        <v>178</v>
      </c>
      <c r="C102" s="508"/>
      <c r="D102" s="176">
        <v>558</v>
      </c>
      <c r="E102" s="176">
        <v>80</v>
      </c>
      <c r="F102" s="176">
        <f>D102-E102</f>
        <v>478</v>
      </c>
      <c r="G102" s="176">
        <v>381</v>
      </c>
      <c r="H102" s="176">
        <v>331</v>
      </c>
      <c r="I102" s="176">
        <v>310</v>
      </c>
      <c r="J102" s="177">
        <v>270</v>
      </c>
    </row>
    <row r="103" spans="1:10" ht="31.5" customHeight="1" thickBot="1">
      <c r="A103" s="513"/>
      <c r="B103" s="102" t="s">
        <v>177</v>
      </c>
      <c r="C103" s="514"/>
      <c r="D103" s="185">
        <v>0</v>
      </c>
      <c r="E103" s="185">
        <v>0</v>
      </c>
      <c r="F103" s="185">
        <v>0</v>
      </c>
      <c r="G103" s="185">
        <v>0</v>
      </c>
      <c r="H103" s="185">
        <v>0</v>
      </c>
      <c r="I103" s="185">
        <v>0</v>
      </c>
      <c r="J103" s="186">
        <v>0</v>
      </c>
    </row>
    <row r="104" spans="1:10" ht="15" customHeight="1">
      <c r="A104" s="511"/>
      <c r="B104" s="511"/>
      <c r="C104" s="511"/>
      <c r="D104" s="511"/>
      <c r="E104" s="511"/>
      <c r="F104" s="511"/>
    </row>
    <row r="105" spans="1:10" ht="30" customHeight="1">
      <c r="A105" s="512" t="s">
        <v>176</v>
      </c>
      <c r="B105" s="512"/>
      <c r="C105" s="512"/>
      <c r="D105" s="512"/>
      <c r="E105" s="512"/>
      <c r="F105" s="512"/>
    </row>
    <row r="106" spans="1:10">
      <c r="A106" s="512" t="s">
        <v>169</v>
      </c>
      <c r="B106" s="512"/>
      <c r="C106" s="512"/>
      <c r="D106" s="512"/>
      <c r="E106" s="512"/>
      <c r="F106" s="512"/>
    </row>
  </sheetData>
  <autoFilter ref="A6:O103" xr:uid="{00000000-0009-0000-0000-000002000000}"/>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K106"/>
  <sheetViews>
    <sheetView zoomScale="80" zoomScaleNormal="80" workbookViewId="0">
      <pane xSplit="4" ySplit="5" topLeftCell="E87" activePane="bottomRight" state="frozen"/>
      <selection pane="topRight" activeCell="E1" sqref="E1"/>
      <selection pane="bottomLeft" activeCell="A6" sqref="A6"/>
      <selection pane="bottomRight" activeCell="L80" sqref="L80"/>
    </sheetView>
  </sheetViews>
  <sheetFormatPr defaultRowHeight="15"/>
  <cols>
    <col min="1" max="1" width="4.140625" style="60" customWidth="1"/>
    <col min="2" max="2" width="36" style="85" customWidth="1"/>
    <col min="3" max="3" width="7.5703125" style="85" customWidth="1"/>
    <col min="4" max="4" width="14" style="85" customWidth="1"/>
    <col min="5" max="5" width="12" style="85" customWidth="1"/>
    <col min="6" max="6" width="11.5703125" style="85" customWidth="1"/>
    <col min="7" max="7" width="13.42578125" style="85" customWidth="1"/>
    <col min="8" max="8" width="12.7109375" style="85" customWidth="1"/>
    <col min="9" max="9" width="12" style="85" customWidth="1"/>
    <col min="10" max="10" width="13" style="85" customWidth="1"/>
    <col min="11" max="16384" width="9.140625" style="60"/>
  </cols>
  <sheetData>
    <row r="1" spans="1:11">
      <c r="E1" s="503"/>
      <c r="F1" s="503"/>
      <c r="I1" s="503"/>
      <c r="J1" s="503"/>
    </row>
    <row r="2" spans="1:11" ht="15.75" thickBot="1"/>
    <row r="3" spans="1:11" ht="22.5" customHeight="1">
      <c r="A3" s="504" t="s">
        <v>386</v>
      </c>
      <c r="B3" s="505"/>
      <c r="C3" s="505"/>
      <c r="D3" s="505"/>
      <c r="E3" s="505"/>
      <c r="F3" s="505"/>
      <c r="G3" s="505"/>
      <c r="H3" s="505"/>
      <c r="I3" s="505"/>
      <c r="J3" s="506"/>
      <c r="K3" s="67"/>
    </row>
    <row r="4" spans="1:11" ht="49.5" customHeight="1">
      <c r="A4" s="507" t="s">
        <v>0</v>
      </c>
      <c r="B4" s="508" t="s">
        <v>208</v>
      </c>
      <c r="C4" s="508" t="s">
        <v>207</v>
      </c>
      <c r="D4" s="509" t="s">
        <v>444</v>
      </c>
      <c r="E4" s="509" t="s">
        <v>445</v>
      </c>
      <c r="F4" s="509" t="s">
        <v>206</v>
      </c>
      <c r="G4" s="509"/>
      <c r="H4" s="509"/>
      <c r="I4" s="509"/>
      <c r="J4" s="510"/>
      <c r="K4" s="67"/>
    </row>
    <row r="5" spans="1:11" ht="33" customHeight="1">
      <c r="A5" s="507"/>
      <c r="B5" s="508"/>
      <c r="C5" s="508"/>
      <c r="D5" s="509"/>
      <c r="E5" s="509"/>
      <c r="F5" s="162" t="s">
        <v>17</v>
      </c>
      <c r="G5" s="162" t="s">
        <v>18</v>
      </c>
      <c r="H5" s="162" t="s">
        <v>19</v>
      </c>
      <c r="I5" s="163" t="s">
        <v>20</v>
      </c>
      <c r="J5" s="163" t="s">
        <v>394</v>
      </c>
    </row>
    <row r="6" spans="1:11" ht="13.5" customHeight="1">
      <c r="A6" s="97">
        <v>1</v>
      </c>
      <c r="B6" s="66">
        <v>2</v>
      </c>
      <c r="C6" s="66">
        <v>3</v>
      </c>
      <c r="D6" s="66">
        <v>4</v>
      </c>
      <c r="E6" s="66">
        <v>5</v>
      </c>
      <c r="F6" s="66">
        <v>6</v>
      </c>
      <c r="G6" s="86">
        <v>7</v>
      </c>
      <c r="H6" s="87">
        <v>8</v>
      </c>
      <c r="I6" s="87">
        <v>9</v>
      </c>
      <c r="J6" s="98">
        <v>10</v>
      </c>
    </row>
    <row r="7" spans="1:11" s="62" customFormat="1" ht="15.75" customHeight="1">
      <c r="A7" s="507">
        <v>1</v>
      </c>
      <c r="B7" s="65" t="s">
        <v>205</v>
      </c>
      <c r="C7" s="508" t="s">
        <v>201</v>
      </c>
      <c r="D7" s="94">
        <v>0</v>
      </c>
      <c r="E7" s="94">
        <v>0</v>
      </c>
      <c r="F7" s="94">
        <v>0</v>
      </c>
      <c r="G7" s="94">
        <v>0</v>
      </c>
      <c r="H7" s="94">
        <v>0</v>
      </c>
      <c r="I7" s="94">
        <v>0</v>
      </c>
      <c r="J7" s="101">
        <v>0</v>
      </c>
    </row>
    <row r="8" spans="1:11" ht="13.5" customHeight="1">
      <c r="A8" s="507"/>
      <c r="B8" s="61" t="s">
        <v>179</v>
      </c>
      <c r="C8" s="508"/>
      <c r="D8" s="93">
        <v>0</v>
      </c>
      <c r="E8" s="93">
        <v>0</v>
      </c>
      <c r="F8" s="93">
        <v>0</v>
      </c>
      <c r="G8" s="93">
        <v>0</v>
      </c>
      <c r="H8" s="93">
        <v>0</v>
      </c>
      <c r="I8" s="93">
        <v>0</v>
      </c>
      <c r="J8" s="100">
        <v>0</v>
      </c>
    </row>
    <row r="9" spans="1:11" ht="13.5" customHeight="1">
      <c r="A9" s="507"/>
      <c r="B9" s="61" t="s">
        <v>189</v>
      </c>
      <c r="C9" s="508"/>
      <c r="D9" s="93">
        <v>0</v>
      </c>
      <c r="E9" s="93">
        <v>0</v>
      </c>
      <c r="F9" s="93">
        <v>0</v>
      </c>
      <c r="G9" s="93">
        <v>0</v>
      </c>
      <c r="H9" s="93">
        <v>0</v>
      </c>
      <c r="I9" s="93">
        <v>0</v>
      </c>
      <c r="J9" s="100">
        <v>0</v>
      </c>
    </row>
    <row r="10" spans="1:11" ht="13.5" customHeight="1">
      <c r="A10" s="507"/>
      <c r="B10" s="64" t="s">
        <v>188</v>
      </c>
      <c r="C10" s="508"/>
      <c r="D10" s="93">
        <v>0</v>
      </c>
      <c r="E10" s="93">
        <v>0</v>
      </c>
      <c r="F10" s="93">
        <v>0</v>
      </c>
      <c r="G10" s="93">
        <v>0</v>
      </c>
      <c r="H10" s="93">
        <v>0</v>
      </c>
      <c r="I10" s="93">
        <v>0</v>
      </c>
      <c r="J10" s="100">
        <v>0</v>
      </c>
    </row>
    <row r="11" spans="1:11" ht="13.5" customHeight="1">
      <c r="A11" s="507"/>
      <c r="B11" s="64" t="s">
        <v>187</v>
      </c>
      <c r="C11" s="508"/>
      <c r="D11" s="93">
        <v>0</v>
      </c>
      <c r="E11" s="93">
        <v>0</v>
      </c>
      <c r="F11" s="93">
        <v>0</v>
      </c>
      <c r="G11" s="93">
        <v>0</v>
      </c>
      <c r="H11" s="93">
        <v>0</v>
      </c>
      <c r="I11" s="93">
        <v>0</v>
      </c>
      <c r="J11" s="100">
        <v>0</v>
      </c>
    </row>
    <row r="12" spans="1:11" ht="13.5" customHeight="1">
      <c r="A12" s="507"/>
      <c r="B12" s="61" t="s">
        <v>186</v>
      </c>
      <c r="C12" s="508"/>
      <c r="D12" s="93">
        <v>0</v>
      </c>
      <c r="E12" s="93">
        <v>0</v>
      </c>
      <c r="F12" s="93">
        <v>0</v>
      </c>
      <c r="G12" s="93">
        <v>0</v>
      </c>
      <c r="H12" s="93">
        <v>0</v>
      </c>
      <c r="I12" s="93">
        <v>0</v>
      </c>
      <c r="J12" s="100">
        <v>0</v>
      </c>
    </row>
    <row r="13" spans="1:11" s="62" customFormat="1" ht="14.25">
      <c r="A13" s="507">
        <v>2</v>
      </c>
      <c r="B13" s="65" t="s">
        <v>204</v>
      </c>
      <c r="C13" s="508" t="s">
        <v>201</v>
      </c>
      <c r="D13" s="94">
        <v>16.747</v>
      </c>
      <c r="E13" s="94">
        <f>SUM(E14:E18)</f>
        <v>0</v>
      </c>
      <c r="F13" s="94">
        <f>D13</f>
        <v>16.747</v>
      </c>
      <c r="G13" s="94">
        <f>16.747+0.46</f>
        <v>17.207000000000001</v>
      </c>
      <c r="H13" s="94">
        <v>17.207000000000001</v>
      </c>
      <c r="I13" s="94">
        <f>SUM(I14:I18)</f>
        <v>19.407</v>
      </c>
      <c r="J13" s="94">
        <f>SUM(J14:J18)</f>
        <v>36.207000000000001</v>
      </c>
    </row>
    <row r="14" spans="1:11" ht="13.5" customHeight="1">
      <c r="A14" s="507"/>
      <c r="B14" s="61" t="s">
        <v>179</v>
      </c>
      <c r="C14" s="508"/>
      <c r="D14" s="176">
        <f>D13-D15-D16</f>
        <v>2.4609999999999994</v>
      </c>
      <c r="E14" s="176">
        <v>0</v>
      </c>
      <c r="F14" s="176">
        <f>F13-F15-F16</f>
        <v>2.4609999999999994</v>
      </c>
      <c r="G14" s="176">
        <f t="shared" ref="G14:H14" si="0">G13-G15-G16</f>
        <v>5.4210000000000003</v>
      </c>
      <c r="H14" s="176">
        <f t="shared" si="0"/>
        <v>5.6210000000000004</v>
      </c>
      <c r="I14" s="176">
        <v>8.020999999999999</v>
      </c>
      <c r="J14" s="177">
        <v>25.021000000000001</v>
      </c>
    </row>
    <row r="15" spans="1:11" ht="13.5" customHeight="1">
      <c r="A15" s="507"/>
      <c r="B15" s="61" t="s">
        <v>189</v>
      </c>
      <c r="C15" s="508"/>
      <c r="D15" s="176">
        <v>11.086</v>
      </c>
      <c r="E15" s="176">
        <v>0</v>
      </c>
      <c r="F15" s="176">
        <f>D15-E15</f>
        <v>11.086</v>
      </c>
      <c r="G15" s="176">
        <v>11.086</v>
      </c>
      <c r="H15" s="176">
        <v>11.086</v>
      </c>
      <c r="I15" s="176">
        <v>11.086</v>
      </c>
      <c r="J15" s="177">
        <v>11.086</v>
      </c>
    </row>
    <row r="16" spans="1:11" ht="13.5" customHeight="1">
      <c r="A16" s="507"/>
      <c r="B16" s="64" t="s">
        <v>188</v>
      </c>
      <c r="C16" s="508"/>
      <c r="D16" s="176">
        <v>3.2</v>
      </c>
      <c r="E16" s="176">
        <v>0</v>
      </c>
      <c r="F16" s="176">
        <f>D16-E16</f>
        <v>3.2</v>
      </c>
      <c r="G16" s="176">
        <v>0.7</v>
      </c>
      <c r="H16" s="176">
        <v>0.5</v>
      </c>
      <c r="I16" s="176">
        <v>0.3</v>
      </c>
      <c r="J16" s="177">
        <v>0.1</v>
      </c>
    </row>
    <row r="17" spans="1:10" ht="13.5" customHeight="1">
      <c r="A17" s="507"/>
      <c r="B17" s="64" t="s">
        <v>187</v>
      </c>
      <c r="C17" s="508"/>
      <c r="D17" s="176">
        <v>0</v>
      </c>
      <c r="E17" s="176">
        <v>0</v>
      </c>
      <c r="F17" s="176">
        <v>0</v>
      </c>
      <c r="G17" s="176">
        <v>0</v>
      </c>
      <c r="H17" s="176">
        <v>0</v>
      </c>
      <c r="I17" s="176">
        <v>0</v>
      </c>
      <c r="J17" s="177">
        <v>0</v>
      </c>
    </row>
    <row r="18" spans="1:10" ht="13.5" customHeight="1">
      <c r="A18" s="507"/>
      <c r="B18" s="61" t="s">
        <v>186</v>
      </c>
      <c r="C18" s="508"/>
      <c r="D18" s="176">
        <v>0</v>
      </c>
      <c r="E18" s="176">
        <v>0</v>
      </c>
      <c r="F18" s="176">
        <v>0</v>
      </c>
      <c r="G18" s="176">
        <v>0</v>
      </c>
      <c r="H18" s="176">
        <v>0</v>
      </c>
      <c r="I18" s="176">
        <v>0</v>
      </c>
      <c r="J18" s="177">
        <v>0</v>
      </c>
    </row>
    <row r="19" spans="1:10" s="62" customFormat="1" ht="14.25">
      <c r="A19" s="507">
        <v>3</v>
      </c>
      <c r="B19" s="65" t="s">
        <v>203</v>
      </c>
      <c r="C19" s="508" t="s">
        <v>201</v>
      </c>
      <c r="D19" s="94">
        <v>148.72800000000001</v>
      </c>
      <c r="E19" s="94">
        <f>SUM(E20:E24)</f>
        <v>18.25</v>
      </c>
      <c r="F19" s="94">
        <f>D19</f>
        <v>148.72800000000001</v>
      </c>
      <c r="G19" s="94">
        <v>148.72800000000001</v>
      </c>
      <c r="H19" s="94">
        <v>148.72800000000001</v>
      </c>
      <c r="I19" s="94">
        <v>148.72800000000001</v>
      </c>
      <c r="J19" s="101">
        <v>148.72800000000001</v>
      </c>
    </row>
    <row r="20" spans="1:10" ht="13.5" customHeight="1">
      <c r="A20" s="507"/>
      <c r="B20" s="61" t="s">
        <v>179</v>
      </c>
      <c r="C20" s="508"/>
      <c r="D20" s="176">
        <f>D19-D21-D22</f>
        <v>98.52800000000002</v>
      </c>
      <c r="E20" s="176">
        <v>0</v>
      </c>
      <c r="F20" s="176">
        <f>F19-F21-F22</f>
        <v>116.77800000000001</v>
      </c>
      <c r="G20" s="176">
        <f t="shared" ref="G20:J20" si="1">G19-G21-G22</f>
        <v>116.748</v>
      </c>
      <c r="H20" s="176">
        <f t="shared" si="1"/>
        <v>134.548</v>
      </c>
      <c r="I20" s="176">
        <f t="shared" si="1"/>
        <v>141.74799999999999</v>
      </c>
      <c r="J20" s="177">
        <f t="shared" si="1"/>
        <v>141.94800000000001</v>
      </c>
    </row>
    <row r="21" spans="1:10" ht="13.5" customHeight="1">
      <c r="A21" s="507"/>
      <c r="B21" s="61" t="s">
        <v>189</v>
      </c>
      <c r="C21" s="508"/>
      <c r="D21" s="176">
        <v>48.6</v>
      </c>
      <c r="E21" s="176">
        <v>17.82</v>
      </c>
      <c r="F21" s="178">
        <f>D21-E21</f>
        <v>30.78</v>
      </c>
      <c r="G21" s="178">
        <f>F21</f>
        <v>30.78</v>
      </c>
      <c r="H21" s="178">
        <f>G21-17.2</f>
        <v>13.580000000000002</v>
      </c>
      <c r="I21" s="178">
        <f>H21-7</f>
        <v>6.5800000000000018</v>
      </c>
      <c r="J21" s="179">
        <f>I21</f>
        <v>6.5800000000000018</v>
      </c>
    </row>
    <row r="22" spans="1:10" ht="13.5" customHeight="1">
      <c r="A22" s="507"/>
      <c r="B22" s="64" t="s">
        <v>188</v>
      </c>
      <c r="C22" s="508"/>
      <c r="D22" s="176">
        <v>1.6</v>
      </c>
      <c r="E22" s="176">
        <v>0.43</v>
      </c>
      <c r="F22" s="176">
        <f>D22-E22</f>
        <v>1.1700000000000002</v>
      </c>
      <c r="G22" s="176">
        <v>1.2</v>
      </c>
      <c r="H22" s="176">
        <v>0.6</v>
      </c>
      <c r="I22" s="176">
        <v>0.4</v>
      </c>
      <c r="J22" s="177">
        <v>0.2</v>
      </c>
    </row>
    <row r="23" spans="1:10" ht="13.5" customHeight="1">
      <c r="A23" s="507"/>
      <c r="B23" s="64" t="s">
        <v>187</v>
      </c>
      <c r="C23" s="508"/>
      <c r="D23" s="176">
        <v>0</v>
      </c>
      <c r="E23" s="176">
        <v>0</v>
      </c>
      <c r="F23" s="176">
        <v>0</v>
      </c>
      <c r="G23" s="176">
        <v>0</v>
      </c>
      <c r="H23" s="176">
        <v>0</v>
      </c>
      <c r="I23" s="176">
        <v>0</v>
      </c>
      <c r="J23" s="177">
        <v>0</v>
      </c>
    </row>
    <row r="24" spans="1:10" ht="13.5" customHeight="1">
      <c r="A24" s="507"/>
      <c r="B24" s="61" t="s">
        <v>186</v>
      </c>
      <c r="C24" s="508"/>
      <c r="D24" s="176">
        <v>0</v>
      </c>
      <c r="E24" s="176">
        <v>0</v>
      </c>
      <c r="F24" s="176">
        <v>0</v>
      </c>
      <c r="G24" s="176">
        <v>0</v>
      </c>
      <c r="H24" s="176">
        <v>0</v>
      </c>
      <c r="I24" s="176">
        <v>0</v>
      </c>
      <c r="J24" s="177">
        <v>0</v>
      </c>
    </row>
    <row r="25" spans="1:10" s="62" customFormat="1" ht="18.75" customHeight="1">
      <c r="A25" s="507">
        <v>4</v>
      </c>
      <c r="B25" s="65" t="s">
        <v>202</v>
      </c>
      <c r="C25" s="508" t="s">
        <v>201</v>
      </c>
      <c r="D25" s="94">
        <v>144.12</v>
      </c>
      <c r="E25" s="166">
        <f>SUM(E26:E30)</f>
        <v>1.23</v>
      </c>
      <c r="F25" s="94">
        <f>D25</f>
        <v>144.12</v>
      </c>
      <c r="G25" s="94">
        <f>F25+0.43</f>
        <v>144.55000000000001</v>
      </c>
      <c r="H25" s="94">
        <f>G25+1.7</f>
        <v>146.25</v>
      </c>
      <c r="I25" s="94">
        <f>H25</f>
        <v>146.25</v>
      </c>
      <c r="J25" s="94">
        <f>I25</f>
        <v>146.25</v>
      </c>
    </row>
    <row r="26" spans="1:10" ht="18" customHeight="1">
      <c r="A26" s="507"/>
      <c r="B26" s="61" t="s">
        <v>179</v>
      </c>
      <c r="C26" s="508"/>
      <c r="D26" s="176">
        <f>D25-D27-D28</f>
        <v>80.510000000000019</v>
      </c>
      <c r="E26" s="176">
        <v>0</v>
      </c>
      <c r="F26" s="176">
        <f>F25-F27-F28</f>
        <v>81.739999999999995</v>
      </c>
      <c r="G26" s="176">
        <f>G25-G27-G28</f>
        <v>87.76</v>
      </c>
      <c r="H26" s="176">
        <f>H25-H27-H28</f>
        <v>104.19</v>
      </c>
      <c r="I26" s="176">
        <f>I25-I27-I28</f>
        <v>108.88000000000001</v>
      </c>
      <c r="J26" s="177">
        <f>J25-J27-J28</f>
        <v>110.88</v>
      </c>
    </row>
    <row r="27" spans="1:10" ht="13.5" customHeight="1">
      <c r="A27" s="507"/>
      <c r="B27" s="61" t="s">
        <v>189</v>
      </c>
      <c r="C27" s="508"/>
      <c r="D27" s="93">
        <v>62.01</v>
      </c>
      <c r="E27" s="463">
        <v>0.8</v>
      </c>
      <c r="F27" s="463">
        <f>D27-E27</f>
        <v>61.21</v>
      </c>
      <c r="G27" s="463">
        <f>F27-8</f>
        <v>53.21</v>
      </c>
      <c r="H27" s="463">
        <f>G27-13.5</f>
        <v>39.71</v>
      </c>
      <c r="I27" s="93">
        <f>H27-4.14</f>
        <v>35.57</v>
      </c>
      <c r="J27" s="100">
        <f>I27-1.4</f>
        <v>34.17</v>
      </c>
    </row>
    <row r="28" spans="1:10" ht="13.5" customHeight="1">
      <c r="A28" s="507"/>
      <c r="B28" s="64" t="s">
        <v>188</v>
      </c>
      <c r="C28" s="508"/>
      <c r="D28" s="93">
        <v>1.6</v>
      </c>
      <c r="E28" s="93">
        <v>0.43</v>
      </c>
      <c r="F28" s="93">
        <f>D28-E28</f>
        <v>1.1700000000000002</v>
      </c>
      <c r="G28" s="93">
        <v>3.58</v>
      </c>
      <c r="H28" s="93">
        <v>2.35</v>
      </c>
      <c r="I28" s="463">
        <v>1.8</v>
      </c>
      <c r="J28" s="464">
        <v>1.2</v>
      </c>
    </row>
    <row r="29" spans="1:10" ht="13.5" customHeight="1">
      <c r="A29" s="507"/>
      <c r="B29" s="64" t="s">
        <v>187</v>
      </c>
      <c r="C29" s="508"/>
      <c r="D29" s="93">
        <v>0</v>
      </c>
      <c r="E29" s="93">
        <v>0</v>
      </c>
      <c r="F29" s="93">
        <v>0</v>
      </c>
      <c r="G29" s="465">
        <v>0</v>
      </c>
      <c r="H29" s="465">
        <v>0</v>
      </c>
      <c r="I29" s="465">
        <v>0</v>
      </c>
      <c r="J29" s="466">
        <v>0</v>
      </c>
    </row>
    <row r="30" spans="1:10" ht="13.5" customHeight="1">
      <c r="A30" s="507"/>
      <c r="B30" s="61" t="s">
        <v>186</v>
      </c>
      <c r="C30" s="508"/>
      <c r="D30" s="93">
        <v>0</v>
      </c>
      <c r="E30" s="93">
        <v>0</v>
      </c>
      <c r="F30" s="93">
        <v>0</v>
      </c>
      <c r="G30" s="465">
        <v>0</v>
      </c>
      <c r="H30" s="465">
        <v>0</v>
      </c>
      <c r="I30" s="465">
        <v>0</v>
      </c>
      <c r="J30" s="466">
        <v>0</v>
      </c>
    </row>
    <row r="31" spans="1:10" s="62" customFormat="1" ht="14.25">
      <c r="A31" s="507">
        <v>5</v>
      </c>
      <c r="B31" s="65" t="s">
        <v>200</v>
      </c>
      <c r="C31" s="508" t="s">
        <v>194</v>
      </c>
      <c r="D31" s="94">
        <v>645.38</v>
      </c>
      <c r="E31" s="94">
        <f>SUM(E32:E36)</f>
        <v>28.8</v>
      </c>
      <c r="F31" s="94">
        <f>D31+0.1</f>
        <v>645.48</v>
      </c>
      <c r="G31" s="94">
        <f>F31+1.7</f>
        <v>647.18000000000006</v>
      </c>
      <c r="H31" s="94">
        <f>G31</f>
        <v>647.18000000000006</v>
      </c>
      <c r="I31" s="94">
        <f>H31</f>
        <v>647.18000000000006</v>
      </c>
      <c r="J31" s="101">
        <f>I31+0.2</f>
        <v>647.38000000000011</v>
      </c>
    </row>
    <row r="32" spans="1:10" ht="16.5" customHeight="1">
      <c r="A32" s="507"/>
      <c r="B32" s="61" t="s">
        <v>179</v>
      </c>
      <c r="C32" s="508"/>
      <c r="D32" s="178">
        <f>D31-D33-D34</f>
        <v>410</v>
      </c>
      <c r="E32" s="176">
        <v>0</v>
      </c>
      <c r="F32" s="176">
        <f>F31-F33-F34</f>
        <v>438.90000000000003</v>
      </c>
      <c r="G32" s="176">
        <f>G31-G33-G34</f>
        <v>466.54000000000008</v>
      </c>
      <c r="H32" s="176">
        <f>H31-H33-H34</f>
        <v>483.04000000000013</v>
      </c>
      <c r="I32" s="176">
        <f>I31-I33-I34</f>
        <v>523.98000000000013</v>
      </c>
      <c r="J32" s="177">
        <f>J31-J33-J34</f>
        <v>537.11000000000013</v>
      </c>
    </row>
    <row r="33" spans="1:10" ht="13.5" customHeight="1">
      <c r="A33" s="507"/>
      <c r="B33" s="61" t="s">
        <v>189</v>
      </c>
      <c r="C33" s="508"/>
      <c r="D33" s="93">
        <v>198.64</v>
      </c>
      <c r="E33" s="93">
        <v>21</v>
      </c>
      <c r="F33" s="93">
        <f>D33-E33</f>
        <v>177.64</v>
      </c>
      <c r="G33" s="93">
        <f>F33-15.4</f>
        <v>162.23999999999998</v>
      </c>
      <c r="H33" s="93">
        <f>G33-10.8</f>
        <v>151.43999999999997</v>
      </c>
      <c r="I33" s="93">
        <f>H33-36.85</f>
        <v>114.58999999999997</v>
      </c>
      <c r="J33" s="468">
        <f>I33-8.1</f>
        <v>106.48999999999998</v>
      </c>
    </row>
    <row r="34" spans="1:10" ht="13.5" customHeight="1">
      <c r="A34" s="507"/>
      <c r="B34" s="64" t="s">
        <v>188</v>
      </c>
      <c r="C34" s="508"/>
      <c r="D34" s="93">
        <v>36.74</v>
      </c>
      <c r="E34" s="93">
        <v>7.8</v>
      </c>
      <c r="F34" s="93">
        <f>D34-E34</f>
        <v>28.94</v>
      </c>
      <c r="G34" s="93">
        <v>18.399999999999999</v>
      </c>
      <c r="H34" s="93">
        <v>12.7</v>
      </c>
      <c r="I34" s="93">
        <v>8.61</v>
      </c>
      <c r="J34" s="100">
        <v>3.78</v>
      </c>
    </row>
    <row r="35" spans="1:10" ht="13.5" customHeight="1">
      <c r="A35" s="507"/>
      <c r="B35" s="64" t="s">
        <v>187</v>
      </c>
      <c r="C35" s="508"/>
      <c r="D35" s="93">
        <v>0</v>
      </c>
      <c r="E35" s="93">
        <v>0</v>
      </c>
      <c r="F35" s="93">
        <v>0</v>
      </c>
      <c r="G35" s="465">
        <v>0</v>
      </c>
      <c r="H35" s="465">
        <v>0</v>
      </c>
      <c r="I35" s="465">
        <v>0</v>
      </c>
      <c r="J35" s="466">
        <v>0</v>
      </c>
    </row>
    <row r="36" spans="1:10" ht="13.5" customHeight="1">
      <c r="A36" s="507"/>
      <c r="B36" s="61" t="s">
        <v>186</v>
      </c>
      <c r="C36" s="508"/>
      <c r="D36" s="93">
        <v>0</v>
      </c>
      <c r="E36" s="93">
        <v>0</v>
      </c>
      <c r="F36" s="93">
        <v>0</v>
      </c>
      <c r="G36" s="465">
        <v>0</v>
      </c>
      <c r="H36" s="465">
        <v>0</v>
      </c>
      <c r="I36" s="465">
        <v>0</v>
      </c>
      <c r="J36" s="466">
        <v>0</v>
      </c>
    </row>
    <row r="37" spans="1:10" s="62" customFormat="1" ht="15" customHeight="1">
      <c r="A37" s="507">
        <v>6</v>
      </c>
      <c r="B37" s="65" t="s">
        <v>199</v>
      </c>
      <c r="C37" s="508" t="s">
        <v>194</v>
      </c>
      <c r="D37" s="94">
        <v>0</v>
      </c>
      <c r="E37" s="94">
        <v>0</v>
      </c>
      <c r="F37" s="94">
        <v>0</v>
      </c>
      <c r="G37" s="94">
        <v>0</v>
      </c>
      <c r="H37" s="94">
        <v>0</v>
      </c>
      <c r="I37" s="94">
        <v>0</v>
      </c>
      <c r="J37" s="101">
        <v>0</v>
      </c>
    </row>
    <row r="38" spans="1:10" ht="13.5" customHeight="1">
      <c r="A38" s="507"/>
      <c r="B38" s="61" t="s">
        <v>179</v>
      </c>
      <c r="C38" s="508"/>
      <c r="D38" s="93">
        <v>0</v>
      </c>
      <c r="E38" s="93">
        <v>0</v>
      </c>
      <c r="F38" s="93">
        <v>0</v>
      </c>
      <c r="G38" s="93">
        <v>0</v>
      </c>
      <c r="H38" s="93">
        <v>0</v>
      </c>
      <c r="I38" s="93">
        <v>0</v>
      </c>
      <c r="J38" s="100">
        <v>0</v>
      </c>
    </row>
    <row r="39" spans="1:10" ht="13.5" customHeight="1">
      <c r="A39" s="507"/>
      <c r="B39" s="61" t="s">
        <v>189</v>
      </c>
      <c r="C39" s="508"/>
      <c r="D39" s="93">
        <v>0</v>
      </c>
      <c r="E39" s="93">
        <v>0</v>
      </c>
      <c r="F39" s="93">
        <v>0</v>
      </c>
      <c r="G39" s="93">
        <v>0</v>
      </c>
      <c r="H39" s="93">
        <v>0</v>
      </c>
      <c r="I39" s="93">
        <v>0</v>
      </c>
      <c r="J39" s="100">
        <v>0</v>
      </c>
    </row>
    <row r="40" spans="1:10">
      <c r="A40" s="507"/>
      <c r="B40" s="64" t="s">
        <v>188</v>
      </c>
      <c r="C40" s="508"/>
      <c r="D40" s="93">
        <v>0</v>
      </c>
      <c r="E40" s="93">
        <v>0</v>
      </c>
      <c r="F40" s="93">
        <v>0</v>
      </c>
      <c r="G40" s="93">
        <v>0</v>
      </c>
      <c r="H40" s="93">
        <v>0</v>
      </c>
      <c r="I40" s="93">
        <v>0</v>
      </c>
      <c r="J40" s="100">
        <v>0</v>
      </c>
    </row>
    <row r="41" spans="1:10" ht="13.5" customHeight="1">
      <c r="A41" s="507"/>
      <c r="B41" s="61" t="s">
        <v>187</v>
      </c>
      <c r="C41" s="508"/>
      <c r="D41" s="93">
        <v>0</v>
      </c>
      <c r="E41" s="93">
        <v>0</v>
      </c>
      <c r="F41" s="93">
        <v>0</v>
      </c>
      <c r="G41" s="93">
        <v>0</v>
      </c>
      <c r="H41" s="93">
        <v>0</v>
      </c>
      <c r="I41" s="93">
        <v>0</v>
      </c>
      <c r="J41" s="100">
        <v>0</v>
      </c>
    </row>
    <row r="42" spans="1:10" ht="13.5" customHeight="1">
      <c r="A42" s="507"/>
      <c r="B42" s="61" t="s">
        <v>186</v>
      </c>
      <c r="C42" s="508"/>
      <c r="D42" s="93">
        <v>0</v>
      </c>
      <c r="E42" s="93">
        <v>0</v>
      </c>
      <c r="F42" s="93">
        <v>0</v>
      </c>
      <c r="G42" s="93">
        <v>0</v>
      </c>
      <c r="H42" s="93">
        <v>0</v>
      </c>
      <c r="I42" s="93">
        <v>0</v>
      </c>
      <c r="J42" s="100">
        <v>0</v>
      </c>
    </row>
    <row r="43" spans="1:10" s="62" customFormat="1" ht="14.25">
      <c r="A43" s="507">
        <v>7</v>
      </c>
      <c r="B43" s="65" t="s">
        <v>198</v>
      </c>
      <c r="C43" s="508" t="s">
        <v>194</v>
      </c>
      <c r="D43" s="94">
        <v>0</v>
      </c>
      <c r="E43" s="94">
        <v>0</v>
      </c>
      <c r="F43" s="94">
        <v>0</v>
      </c>
      <c r="G43" s="94">
        <v>0</v>
      </c>
      <c r="H43" s="94">
        <v>0</v>
      </c>
      <c r="I43" s="94">
        <v>0</v>
      </c>
      <c r="J43" s="101">
        <v>0</v>
      </c>
    </row>
    <row r="44" spans="1:10" ht="13.5" customHeight="1">
      <c r="A44" s="507"/>
      <c r="B44" s="61" t="s">
        <v>179</v>
      </c>
      <c r="C44" s="508"/>
      <c r="D44" s="93">
        <v>0</v>
      </c>
      <c r="E44" s="93">
        <v>0</v>
      </c>
      <c r="F44" s="93">
        <v>0</v>
      </c>
      <c r="G44" s="93">
        <v>0</v>
      </c>
      <c r="H44" s="93">
        <v>0</v>
      </c>
      <c r="I44" s="93">
        <v>0</v>
      </c>
      <c r="J44" s="100">
        <v>0</v>
      </c>
    </row>
    <row r="45" spans="1:10" ht="13.5" customHeight="1">
      <c r="A45" s="507"/>
      <c r="B45" s="61" t="s">
        <v>189</v>
      </c>
      <c r="C45" s="508"/>
      <c r="D45" s="93">
        <v>0</v>
      </c>
      <c r="E45" s="93">
        <v>0</v>
      </c>
      <c r="F45" s="93">
        <v>0</v>
      </c>
      <c r="G45" s="93">
        <v>0</v>
      </c>
      <c r="H45" s="93">
        <v>0</v>
      </c>
      <c r="I45" s="93">
        <v>0</v>
      </c>
      <c r="J45" s="100">
        <v>0</v>
      </c>
    </row>
    <row r="46" spans="1:10" ht="13.5" customHeight="1">
      <c r="A46" s="507"/>
      <c r="B46" s="64" t="s">
        <v>188</v>
      </c>
      <c r="C46" s="508"/>
      <c r="D46" s="93">
        <v>0</v>
      </c>
      <c r="E46" s="93">
        <v>0</v>
      </c>
      <c r="F46" s="93">
        <v>0</v>
      </c>
      <c r="G46" s="93">
        <v>0</v>
      </c>
      <c r="H46" s="93">
        <v>0</v>
      </c>
      <c r="I46" s="93">
        <v>0</v>
      </c>
      <c r="J46" s="100">
        <v>0</v>
      </c>
    </row>
    <row r="47" spans="1:10" ht="13.5" customHeight="1">
      <c r="A47" s="507"/>
      <c r="B47" s="61" t="s">
        <v>187</v>
      </c>
      <c r="C47" s="508"/>
      <c r="D47" s="93">
        <v>0</v>
      </c>
      <c r="E47" s="93">
        <v>0</v>
      </c>
      <c r="F47" s="93">
        <v>0</v>
      </c>
      <c r="G47" s="93">
        <v>0</v>
      </c>
      <c r="H47" s="93">
        <v>0</v>
      </c>
      <c r="I47" s="93">
        <v>0</v>
      </c>
      <c r="J47" s="100">
        <v>0</v>
      </c>
    </row>
    <row r="48" spans="1:10" ht="13.5" customHeight="1">
      <c r="A48" s="507"/>
      <c r="B48" s="61" t="s">
        <v>186</v>
      </c>
      <c r="C48" s="508"/>
      <c r="D48" s="93">
        <v>0</v>
      </c>
      <c r="E48" s="93">
        <v>0</v>
      </c>
      <c r="F48" s="93">
        <v>0</v>
      </c>
      <c r="G48" s="93">
        <v>0</v>
      </c>
      <c r="H48" s="93">
        <v>0</v>
      </c>
      <c r="I48" s="93">
        <v>0</v>
      </c>
      <c r="J48" s="100">
        <v>0</v>
      </c>
    </row>
    <row r="49" spans="1:10" s="62" customFormat="1" ht="14.25">
      <c r="A49" s="507">
        <v>8</v>
      </c>
      <c r="B49" s="65" t="s">
        <v>197</v>
      </c>
      <c r="C49" s="508" t="s">
        <v>194</v>
      </c>
      <c r="D49" s="94">
        <v>0</v>
      </c>
      <c r="E49" s="94">
        <f>SUM(E50:E54)</f>
        <v>8.9</v>
      </c>
      <c r="F49" s="94">
        <f t="shared" ref="F49:J49" si="2">SUM(F50:F54)</f>
        <v>8.9</v>
      </c>
      <c r="G49" s="94">
        <f t="shared" si="2"/>
        <v>8.9</v>
      </c>
      <c r="H49" s="94">
        <f t="shared" si="2"/>
        <v>8.9</v>
      </c>
      <c r="I49" s="94">
        <f t="shared" si="2"/>
        <v>8.9</v>
      </c>
      <c r="J49" s="94">
        <f t="shared" si="2"/>
        <v>8.9</v>
      </c>
    </row>
    <row r="50" spans="1:10" ht="13.5" customHeight="1">
      <c r="A50" s="507"/>
      <c r="B50" s="61" t="s">
        <v>179</v>
      </c>
      <c r="C50" s="508"/>
      <c r="D50" s="93">
        <v>0</v>
      </c>
      <c r="E50" s="176">
        <v>8.9</v>
      </c>
      <c r="F50" s="176">
        <v>8.9</v>
      </c>
      <c r="G50" s="176">
        <v>8.9</v>
      </c>
      <c r="H50" s="176">
        <v>8.9</v>
      </c>
      <c r="I50" s="176">
        <v>8.9</v>
      </c>
      <c r="J50" s="176">
        <v>8.9</v>
      </c>
    </row>
    <row r="51" spans="1:10" ht="13.5" customHeight="1">
      <c r="A51" s="507"/>
      <c r="B51" s="61" t="s">
        <v>189</v>
      </c>
      <c r="C51" s="508"/>
      <c r="D51" s="93">
        <v>0</v>
      </c>
      <c r="E51" s="93">
        <v>0</v>
      </c>
      <c r="F51" s="93">
        <v>0</v>
      </c>
      <c r="G51" s="93">
        <v>0</v>
      </c>
      <c r="H51" s="93">
        <v>0</v>
      </c>
      <c r="I51" s="93">
        <v>0</v>
      </c>
      <c r="J51" s="100">
        <v>0</v>
      </c>
    </row>
    <row r="52" spans="1:10" ht="13.5" customHeight="1">
      <c r="A52" s="507"/>
      <c r="B52" s="64" t="s">
        <v>188</v>
      </c>
      <c r="C52" s="508"/>
      <c r="D52" s="93">
        <v>0</v>
      </c>
      <c r="E52" s="93">
        <v>0</v>
      </c>
      <c r="F52" s="93">
        <v>0</v>
      </c>
      <c r="G52" s="93">
        <v>0</v>
      </c>
      <c r="H52" s="93">
        <v>0</v>
      </c>
      <c r="I52" s="93">
        <v>0</v>
      </c>
      <c r="J52" s="100">
        <v>0</v>
      </c>
    </row>
    <row r="53" spans="1:10" ht="13.5" customHeight="1">
      <c r="A53" s="507"/>
      <c r="B53" s="61" t="s">
        <v>187</v>
      </c>
      <c r="C53" s="508"/>
      <c r="D53" s="93">
        <v>0</v>
      </c>
      <c r="E53" s="93">
        <v>0</v>
      </c>
      <c r="F53" s="93">
        <v>0</v>
      </c>
      <c r="G53" s="93">
        <v>0</v>
      </c>
      <c r="H53" s="93">
        <v>0</v>
      </c>
      <c r="I53" s="93">
        <v>0</v>
      </c>
      <c r="J53" s="100">
        <v>0</v>
      </c>
    </row>
    <row r="54" spans="1:10" ht="13.5" customHeight="1">
      <c r="A54" s="507"/>
      <c r="B54" s="61" t="s">
        <v>186</v>
      </c>
      <c r="C54" s="508"/>
      <c r="D54" s="93">
        <v>0</v>
      </c>
      <c r="E54" s="93">
        <v>0</v>
      </c>
      <c r="F54" s="93">
        <v>0</v>
      </c>
      <c r="G54" s="93">
        <v>0</v>
      </c>
      <c r="H54" s="93">
        <v>0</v>
      </c>
      <c r="I54" s="93">
        <v>0</v>
      </c>
      <c r="J54" s="100">
        <v>0</v>
      </c>
    </row>
    <row r="55" spans="1:10" s="62" customFormat="1" ht="14.25">
      <c r="A55" s="507">
        <v>9</v>
      </c>
      <c r="B55" s="65" t="s">
        <v>196</v>
      </c>
      <c r="C55" s="508" t="s">
        <v>194</v>
      </c>
      <c r="D55" s="94">
        <v>471.55</v>
      </c>
      <c r="E55" s="94">
        <f>SUM(E56:E60)</f>
        <v>4.05</v>
      </c>
      <c r="F55" s="94">
        <f>D55+2</f>
        <v>473.55</v>
      </c>
      <c r="G55" s="94">
        <f>F55+4.5</f>
        <v>478.05</v>
      </c>
      <c r="H55" s="94">
        <f>G55+2</f>
        <v>480.05</v>
      </c>
      <c r="I55" s="94">
        <f>H55+4.8</f>
        <v>484.85</v>
      </c>
      <c r="J55" s="101">
        <f>I55+4.63</f>
        <v>489.48</v>
      </c>
    </row>
    <row r="56" spans="1:10" ht="16.5" customHeight="1">
      <c r="A56" s="507"/>
      <c r="B56" s="61" t="s">
        <v>179</v>
      </c>
      <c r="C56" s="508"/>
      <c r="D56" s="178">
        <f>D55-D57-D58</f>
        <v>186.12</v>
      </c>
      <c r="E56" s="176">
        <v>0</v>
      </c>
      <c r="F56" s="178">
        <f>F55-F57-F58</f>
        <v>192.17</v>
      </c>
      <c r="G56" s="178">
        <f>G55-G57-G58</f>
        <v>204.47000000000003</v>
      </c>
      <c r="H56" s="178">
        <f>H55-H57-H58</f>
        <v>222.72000000000003</v>
      </c>
      <c r="I56" s="178">
        <f>I55-I57-I58</f>
        <v>245.32000000000002</v>
      </c>
      <c r="J56" s="177">
        <f>J55-J57-J58</f>
        <v>274.04000000000002</v>
      </c>
    </row>
    <row r="57" spans="1:10" ht="15.75" customHeight="1">
      <c r="A57" s="507"/>
      <c r="B57" s="61" t="s">
        <v>189</v>
      </c>
      <c r="C57" s="508"/>
      <c r="D57" s="463">
        <v>283.93</v>
      </c>
      <c r="E57" s="463">
        <v>3.7</v>
      </c>
      <c r="F57" s="93">
        <f>D57-E57</f>
        <v>280.23</v>
      </c>
      <c r="G57" s="93">
        <f>F57-7.6</f>
        <v>272.63</v>
      </c>
      <c r="H57" s="93">
        <f>G57-16</f>
        <v>256.63</v>
      </c>
      <c r="I57" s="93">
        <f>H57-17.6</f>
        <v>239.03</v>
      </c>
      <c r="J57" s="100">
        <f>I57-23.84</f>
        <v>215.19</v>
      </c>
    </row>
    <row r="58" spans="1:10" ht="13.5" customHeight="1">
      <c r="A58" s="507"/>
      <c r="B58" s="64" t="s">
        <v>188</v>
      </c>
      <c r="C58" s="508"/>
      <c r="D58" s="463">
        <v>1.5</v>
      </c>
      <c r="E58" s="93">
        <v>0.35</v>
      </c>
      <c r="F58" s="93">
        <f>D58-E58</f>
        <v>1.1499999999999999</v>
      </c>
      <c r="G58" s="93">
        <v>0.95</v>
      </c>
      <c r="H58" s="463">
        <v>0.7</v>
      </c>
      <c r="I58" s="463">
        <v>0.5</v>
      </c>
      <c r="J58" s="100">
        <v>0.25</v>
      </c>
    </row>
    <row r="59" spans="1:10" ht="13.5" customHeight="1">
      <c r="A59" s="507"/>
      <c r="B59" s="61" t="s">
        <v>187</v>
      </c>
      <c r="C59" s="508"/>
      <c r="D59" s="93">
        <v>0</v>
      </c>
      <c r="E59" s="93">
        <v>0</v>
      </c>
      <c r="F59" s="93">
        <v>0</v>
      </c>
      <c r="G59" s="93">
        <v>0</v>
      </c>
      <c r="H59" s="93">
        <v>0</v>
      </c>
      <c r="I59" s="93">
        <v>0</v>
      </c>
      <c r="J59" s="100">
        <v>0</v>
      </c>
    </row>
    <row r="60" spans="1:10" ht="13.5" customHeight="1">
      <c r="A60" s="507"/>
      <c r="B60" s="61" t="s">
        <v>186</v>
      </c>
      <c r="C60" s="508"/>
      <c r="D60" s="93">
        <v>0</v>
      </c>
      <c r="E60" s="93">
        <v>0</v>
      </c>
      <c r="F60" s="93">
        <v>0</v>
      </c>
      <c r="G60" s="93">
        <v>0</v>
      </c>
      <c r="H60" s="93">
        <v>0</v>
      </c>
      <c r="I60" s="93">
        <v>0</v>
      </c>
      <c r="J60" s="100">
        <v>0</v>
      </c>
    </row>
    <row r="61" spans="1:10" s="62" customFormat="1" ht="14.25">
      <c r="A61" s="507">
        <v>10</v>
      </c>
      <c r="B61" s="65" t="s">
        <v>195</v>
      </c>
      <c r="C61" s="508" t="s">
        <v>194</v>
      </c>
      <c r="D61" s="94">
        <v>313.52</v>
      </c>
      <c r="E61" s="94">
        <f>SUM(E62:E66)</f>
        <v>2.9</v>
      </c>
      <c r="F61" s="94">
        <f>D61</f>
        <v>313.52</v>
      </c>
      <c r="G61" s="94">
        <f>F61+1.8</f>
        <v>315.32</v>
      </c>
      <c r="H61" s="94">
        <f>G61</f>
        <v>315.32</v>
      </c>
      <c r="I61" s="94">
        <f>H61</f>
        <v>315.32</v>
      </c>
      <c r="J61" s="101">
        <f>I61-0.2</f>
        <v>315.12</v>
      </c>
    </row>
    <row r="62" spans="1:10" ht="27" customHeight="1">
      <c r="A62" s="507"/>
      <c r="B62" s="61" t="s">
        <v>179</v>
      </c>
      <c r="C62" s="508"/>
      <c r="D62" s="178">
        <f>D61-D63-D64</f>
        <v>154.15999999999997</v>
      </c>
      <c r="E62" s="176">
        <v>0</v>
      </c>
      <c r="F62" s="178">
        <f>F61-F63-F64</f>
        <v>157.05999999999997</v>
      </c>
      <c r="G62" s="178">
        <f>G61-G63-G64</f>
        <v>163.85999999999996</v>
      </c>
      <c r="H62" s="178">
        <f>H61-H63-H64</f>
        <v>168.39</v>
      </c>
      <c r="I62" s="178">
        <f>I61-I63-I64</f>
        <v>173.80999999999997</v>
      </c>
      <c r="J62" s="179">
        <f>J61-J63-J64</f>
        <v>176.69</v>
      </c>
    </row>
    <row r="63" spans="1:10" ht="13.5" customHeight="1">
      <c r="A63" s="507"/>
      <c r="B63" s="61" t="s">
        <v>189</v>
      </c>
      <c r="C63" s="508"/>
      <c r="D63" s="93">
        <v>158.36000000000001</v>
      </c>
      <c r="E63" s="93">
        <v>2.6</v>
      </c>
      <c r="F63" s="93">
        <f>D63-E63</f>
        <v>155.76000000000002</v>
      </c>
      <c r="G63" s="93">
        <f>F63-4.85</f>
        <v>150.91000000000003</v>
      </c>
      <c r="H63" s="93">
        <f>G63-4.3</f>
        <v>146.61000000000001</v>
      </c>
      <c r="I63" s="93">
        <f>H63-5.25</f>
        <v>141.36000000000001</v>
      </c>
      <c r="J63" s="100">
        <f>I63-3</f>
        <v>138.36000000000001</v>
      </c>
    </row>
    <row r="64" spans="1:10" ht="13.5" customHeight="1">
      <c r="A64" s="507"/>
      <c r="B64" s="64" t="s">
        <v>188</v>
      </c>
      <c r="C64" s="508"/>
      <c r="D64" s="467">
        <v>1</v>
      </c>
      <c r="E64" s="463">
        <v>0.3</v>
      </c>
      <c r="F64" s="463">
        <f>D64-E64</f>
        <v>0.7</v>
      </c>
      <c r="G64" s="93">
        <v>0.55000000000000004</v>
      </c>
      <c r="H64" s="93">
        <v>0.32</v>
      </c>
      <c r="I64" s="93">
        <v>0.15</v>
      </c>
      <c r="J64" s="100">
        <v>7.0000000000000007E-2</v>
      </c>
    </row>
    <row r="65" spans="1:10" ht="13.5" customHeight="1">
      <c r="A65" s="507"/>
      <c r="B65" s="61" t="s">
        <v>187</v>
      </c>
      <c r="C65" s="508"/>
      <c r="D65" s="93">
        <v>0</v>
      </c>
      <c r="E65" s="93">
        <v>0</v>
      </c>
      <c r="F65" s="93">
        <v>0</v>
      </c>
      <c r="G65" s="93">
        <v>0</v>
      </c>
      <c r="H65" s="93">
        <v>0</v>
      </c>
      <c r="I65" s="93">
        <v>0</v>
      </c>
      <c r="J65" s="100">
        <v>0</v>
      </c>
    </row>
    <row r="66" spans="1:10" ht="13.5" customHeight="1">
      <c r="A66" s="507"/>
      <c r="B66" s="61" t="s">
        <v>186</v>
      </c>
      <c r="C66" s="508"/>
      <c r="D66" s="93">
        <v>0</v>
      </c>
      <c r="E66" s="93">
        <v>0</v>
      </c>
      <c r="F66" s="93">
        <v>0</v>
      </c>
      <c r="G66" s="93">
        <v>0</v>
      </c>
      <c r="H66" s="93">
        <v>0</v>
      </c>
      <c r="I66" s="93">
        <v>0</v>
      </c>
      <c r="J66" s="100">
        <v>0</v>
      </c>
    </row>
    <row r="67" spans="1:10" s="62" customFormat="1" ht="28.5">
      <c r="A67" s="507">
        <v>11</v>
      </c>
      <c r="B67" s="63" t="s">
        <v>193</v>
      </c>
      <c r="C67" s="508" t="s">
        <v>180</v>
      </c>
      <c r="D67" s="94">
        <v>0</v>
      </c>
      <c r="E67" s="94">
        <v>0</v>
      </c>
      <c r="F67" s="94">
        <v>0</v>
      </c>
      <c r="G67" s="94">
        <v>0</v>
      </c>
      <c r="H67" s="94">
        <v>0</v>
      </c>
      <c r="I67" s="94">
        <v>0</v>
      </c>
      <c r="J67" s="101">
        <v>0</v>
      </c>
    </row>
    <row r="68" spans="1:10" ht="13.5" customHeight="1">
      <c r="A68" s="507"/>
      <c r="B68" s="61" t="s">
        <v>179</v>
      </c>
      <c r="C68" s="508"/>
      <c r="D68" s="93">
        <v>0</v>
      </c>
      <c r="E68" s="93">
        <v>0</v>
      </c>
      <c r="F68" s="93">
        <v>0</v>
      </c>
      <c r="G68" s="93">
        <v>0</v>
      </c>
      <c r="H68" s="93">
        <v>0</v>
      </c>
      <c r="I68" s="93">
        <v>0</v>
      </c>
      <c r="J68" s="100">
        <v>0</v>
      </c>
    </row>
    <row r="69" spans="1:10" ht="13.5" customHeight="1">
      <c r="A69" s="507"/>
      <c r="B69" s="61" t="s">
        <v>189</v>
      </c>
      <c r="C69" s="508"/>
      <c r="D69" s="93">
        <v>0</v>
      </c>
      <c r="E69" s="93">
        <v>0</v>
      </c>
      <c r="F69" s="93">
        <v>0</v>
      </c>
      <c r="G69" s="93">
        <v>0</v>
      </c>
      <c r="H69" s="93">
        <v>0</v>
      </c>
      <c r="I69" s="93">
        <v>0</v>
      </c>
      <c r="J69" s="100">
        <v>0</v>
      </c>
    </row>
    <row r="70" spans="1:10" ht="13.5" customHeight="1">
      <c r="A70" s="507"/>
      <c r="B70" s="64" t="s">
        <v>188</v>
      </c>
      <c r="C70" s="508"/>
      <c r="D70" s="93">
        <v>0</v>
      </c>
      <c r="E70" s="93">
        <v>0</v>
      </c>
      <c r="F70" s="93">
        <v>0</v>
      </c>
      <c r="G70" s="93">
        <v>0</v>
      </c>
      <c r="H70" s="93">
        <v>0</v>
      </c>
      <c r="I70" s="93">
        <v>0</v>
      </c>
      <c r="J70" s="100">
        <v>0</v>
      </c>
    </row>
    <row r="71" spans="1:10" ht="13.5" customHeight="1">
      <c r="A71" s="507"/>
      <c r="B71" s="61" t="s">
        <v>187</v>
      </c>
      <c r="C71" s="508"/>
      <c r="D71" s="93">
        <v>0</v>
      </c>
      <c r="E71" s="93">
        <v>0</v>
      </c>
      <c r="F71" s="93">
        <v>0</v>
      </c>
      <c r="G71" s="93">
        <v>0</v>
      </c>
      <c r="H71" s="93">
        <v>0</v>
      </c>
      <c r="I71" s="93">
        <v>0</v>
      </c>
      <c r="J71" s="100">
        <v>0</v>
      </c>
    </row>
    <row r="72" spans="1:10" s="62" customFormat="1" ht="28.5">
      <c r="A72" s="507">
        <v>12</v>
      </c>
      <c r="B72" s="63" t="s">
        <v>192</v>
      </c>
      <c r="C72" s="508" t="s">
        <v>180</v>
      </c>
      <c r="D72" s="94">
        <v>8</v>
      </c>
      <c r="E72" s="167">
        <f>SUM(E73:E76)</f>
        <v>1</v>
      </c>
      <c r="F72" s="94">
        <v>8</v>
      </c>
      <c r="G72" s="94">
        <v>8</v>
      </c>
      <c r="H72" s="94">
        <v>8</v>
      </c>
      <c r="I72" s="94">
        <v>9</v>
      </c>
      <c r="J72" s="101">
        <v>9</v>
      </c>
    </row>
    <row r="73" spans="1:10" ht="13.5" customHeight="1">
      <c r="A73" s="507"/>
      <c r="B73" s="61" t="s">
        <v>179</v>
      </c>
      <c r="C73" s="508"/>
      <c r="D73" s="183">
        <f>D72-D74-D75</f>
        <v>0</v>
      </c>
      <c r="E73" s="176">
        <v>0</v>
      </c>
      <c r="F73" s="183">
        <f>F72-F74-F75</f>
        <v>1</v>
      </c>
      <c r="G73" s="183">
        <f>G72-G74-G75</f>
        <v>2</v>
      </c>
      <c r="H73" s="183">
        <f>H72-H74-H75</f>
        <v>2</v>
      </c>
      <c r="I73" s="183">
        <f>I72-I74-I75</f>
        <v>5</v>
      </c>
      <c r="J73" s="184">
        <f>J72-J74-J75</f>
        <v>6</v>
      </c>
    </row>
    <row r="74" spans="1:10" ht="13.5" customHeight="1">
      <c r="A74" s="507"/>
      <c r="B74" s="61" t="s">
        <v>189</v>
      </c>
      <c r="C74" s="508"/>
      <c r="D74" s="176">
        <v>8</v>
      </c>
      <c r="E74" s="176">
        <v>1</v>
      </c>
      <c r="F74" s="176">
        <f>D74-E74</f>
        <v>7</v>
      </c>
      <c r="G74" s="176">
        <v>6</v>
      </c>
      <c r="H74" s="176">
        <v>6</v>
      </c>
      <c r="I74" s="176">
        <v>4</v>
      </c>
      <c r="J74" s="177">
        <v>3</v>
      </c>
    </row>
    <row r="75" spans="1:10" ht="13.5" customHeight="1">
      <c r="A75" s="507"/>
      <c r="B75" s="64" t="s">
        <v>188</v>
      </c>
      <c r="C75" s="508"/>
      <c r="D75" s="176">
        <v>0</v>
      </c>
      <c r="E75" s="176">
        <v>0</v>
      </c>
      <c r="F75" s="176">
        <v>0</v>
      </c>
      <c r="G75" s="176">
        <v>0</v>
      </c>
      <c r="H75" s="176">
        <v>0</v>
      </c>
      <c r="I75" s="176">
        <v>0</v>
      </c>
      <c r="J75" s="177">
        <v>0</v>
      </c>
    </row>
    <row r="76" spans="1:10" ht="13.5" customHeight="1">
      <c r="A76" s="507"/>
      <c r="B76" s="61" t="s">
        <v>187</v>
      </c>
      <c r="C76" s="508"/>
      <c r="D76" s="176">
        <v>0</v>
      </c>
      <c r="E76" s="176">
        <v>0</v>
      </c>
      <c r="F76" s="176">
        <v>0</v>
      </c>
      <c r="G76" s="176">
        <v>0</v>
      </c>
      <c r="H76" s="176">
        <v>0</v>
      </c>
      <c r="I76" s="176">
        <v>0</v>
      </c>
      <c r="J76" s="177">
        <v>0</v>
      </c>
    </row>
    <row r="77" spans="1:10" s="62" customFormat="1" ht="28.5">
      <c r="A77" s="507">
        <v>13</v>
      </c>
      <c r="B77" s="63" t="s">
        <v>191</v>
      </c>
      <c r="C77" s="508" t="s">
        <v>180</v>
      </c>
      <c r="D77" s="94">
        <v>22</v>
      </c>
      <c r="E77" s="167">
        <f>SUM(E78:E81)</f>
        <v>3</v>
      </c>
      <c r="F77" s="94">
        <v>22</v>
      </c>
      <c r="G77" s="94">
        <v>22</v>
      </c>
      <c r="H77" s="94">
        <v>22</v>
      </c>
      <c r="I77" s="94">
        <v>22</v>
      </c>
      <c r="J77" s="101">
        <v>22</v>
      </c>
    </row>
    <row r="78" spans="1:10" ht="13.5" customHeight="1">
      <c r="A78" s="507"/>
      <c r="B78" s="61" t="s">
        <v>179</v>
      </c>
      <c r="C78" s="508"/>
      <c r="D78" s="183">
        <f>D77-D79-D80</f>
        <v>0</v>
      </c>
      <c r="E78" s="176">
        <v>0</v>
      </c>
      <c r="F78" s="183">
        <f>F77-F79-F80</f>
        <v>3</v>
      </c>
      <c r="G78" s="183">
        <f>G77-G79-G80</f>
        <v>6</v>
      </c>
      <c r="H78" s="183">
        <f>H77-H79-H80</f>
        <v>7</v>
      </c>
      <c r="I78" s="183">
        <f>I77-I79-I80</f>
        <v>7</v>
      </c>
      <c r="J78" s="184">
        <f>J77-J79-J80</f>
        <v>11</v>
      </c>
    </row>
    <row r="79" spans="1:10" ht="13.5" customHeight="1">
      <c r="A79" s="507"/>
      <c r="B79" s="61" t="s">
        <v>189</v>
      </c>
      <c r="C79" s="508"/>
      <c r="D79" s="176">
        <v>22</v>
      </c>
      <c r="E79" s="176">
        <v>3</v>
      </c>
      <c r="F79" s="176">
        <f>D79-E79</f>
        <v>19</v>
      </c>
      <c r="G79" s="176">
        <v>16</v>
      </c>
      <c r="H79" s="176">
        <v>15</v>
      </c>
      <c r="I79" s="176">
        <v>15</v>
      </c>
      <c r="J79" s="177">
        <v>11</v>
      </c>
    </row>
    <row r="80" spans="1:10" ht="13.5" customHeight="1">
      <c r="A80" s="507"/>
      <c r="B80" s="64" t="s">
        <v>188</v>
      </c>
      <c r="C80" s="508"/>
      <c r="D80" s="176">
        <v>0</v>
      </c>
      <c r="E80" s="176">
        <v>0</v>
      </c>
      <c r="F80" s="176">
        <v>0</v>
      </c>
      <c r="G80" s="176">
        <v>0</v>
      </c>
      <c r="H80" s="176">
        <v>0</v>
      </c>
      <c r="I80" s="176">
        <v>0</v>
      </c>
      <c r="J80" s="177">
        <v>0</v>
      </c>
    </row>
    <row r="81" spans="1:10" ht="13.5" customHeight="1">
      <c r="A81" s="507"/>
      <c r="B81" s="61" t="s">
        <v>187</v>
      </c>
      <c r="C81" s="508"/>
      <c r="D81" s="176">
        <v>0</v>
      </c>
      <c r="E81" s="176">
        <v>0</v>
      </c>
      <c r="F81" s="176">
        <v>0</v>
      </c>
      <c r="G81" s="176">
        <v>0</v>
      </c>
      <c r="H81" s="176">
        <v>0</v>
      </c>
      <c r="I81" s="176">
        <v>0</v>
      </c>
      <c r="J81" s="177">
        <v>0</v>
      </c>
    </row>
    <row r="82" spans="1:10" s="62" customFormat="1" ht="42.75">
      <c r="A82" s="507">
        <v>14</v>
      </c>
      <c r="B82" s="65" t="s">
        <v>190</v>
      </c>
      <c r="C82" s="508" t="s">
        <v>180</v>
      </c>
      <c r="D82" s="94">
        <v>689</v>
      </c>
      <c r="E82" s="167">
        <f>SUM(E83:E86)</f>
        <v>134</v>
      </c>
      <c r="F82" s="94">
        <f>D82+2</f>
        <v>691</v>
      </c>
      <c r="G82" s="94">
        <f>F82+6</f>
        <v>697</v>
      </c>
      <c r="H82" s="94">
        <f>G82+3</f>
        <v>700</v>
      </c>
      <c r="I82" s="94">
        <f>H82+1</f>
        <v>701</v>
      </c>
      <c r="J82" s="101">
        <f>I82</f>
        <v>701</v>
      </c>
    </row>
    <row r="83" spans="1:10" ht="13.5" customHeight="1">
      <c r="A83" s="507"/>
      <c r="B83" s="61" t="s">
        <v>179</v>
      </c>
      <c r="C83" s="508"/>
      <c r="D83" s="183">
        <f>D82-D84-D85</f>
        <v>313</v>
      </c>
      <c r="E83" s="176">
        <v>2</v>
      </c>
      <c r="F83" s="183">
        <f>F82-F84-F85</f>
        <v>447</v>
      </c>
      <c r="G83" s="183">
        <f>G82-G84-G85</f>
        <v>488</v>
      </c>
      <c r="H83" s="183">
        <f>H82-H84-H85</f>
        <v>550</v>
      </c>
      <c r="I83" s="183">
        <f>I82-I84-I85</f>
        <v>608</v>
      </c>
      <c r="J83" s="184">
        <f>J82-J84-J85</f>
        <v>628</v>
      </c>
    </row>
    <row r="84" spans="1:10" ht="13.5" customHeight="1">
      <c r="A84" s="507"/>
      <c r="B84" s="61" t="s">
        <v>189</v>
      </c>
      <c r="C84" s="508"/>
      <c r="D84" s="93">
        <v>311</v>
      </c>
      <c r="E84" s="93">
        <v>90</v>
      </c>
      <c r="F84" s="93">
        <f>D84-E84</f>
        <v>221</v>
      </c>
      <c r="G84" s="93">
        <f>F84-48</f>
        <v>173</v>
      </c>
      <c r="H84" s="93">
        <f>G84-40</f>
        <v>133</v>
      </c>
      <c r="I84" s="93">
        <f>H84-47</f>
        <v>86</v>
      </c>
      <c r="J84" s="466">
        <f>I84-20</f>
        <v>66</v>
      </c>
    </row>
    <row r="85" spans="1:10" ht="13.5" customHeight="1">
      <c r="A85" s="507"/>
      <c r="B85" s="64" t="s">
        <v>188</v>
      </c>
      <c r="C85" s="508"/>
      <c r="D85" s="93">
        <v>65</v>
      </c>
      <c r="E85" s="93">
        <v>42</v>
      </c>
      <c r="F85" s="93">
        <f>D85-E85</f>
        <v>23</v>
      </c>
      <c r="G85" s="93">
        <v>36</v>
      </c>
      <c r="H85" s="93">
        <v>17</v>
      </c>
      <c r="I85" s="93">
        <v>7</v>
      </c>
      <c r="J85" s="100">
        <v>7</v>
      </c>
    </row>
    <row r="86" spans="1:10" ht="13.5" customHeight="1">
      <c r="A86" s="507"/>
      <c r="B86" s="61" t="s">
        <v>187</v>
      </c>
      <c r="C86" s="508"/>
      <c r="D86" s="93">
        <v>0</v>
      </c>
      <c r="E86" s="93">
        <v>0</v>
      </c>
      <c r="F86" s="93">
        <v>0</v>
      </c>
      <c r="G86" s="93">
        <v>0</v>
      </c>
      <c r="H86" s="93">
        <v>0</v>
      </c>
      <c r="I86" s="93">
        <v>0</v>
      </c>
      <c r="J86" s="100">
        <v>0</v>
      </c>
    </row>
    <row r="87" spans="1:10" ht="13.5" customHeight="1">
      <c r="A87" s="507"/>
      <c r="B87" s="61" t="s">
        <v>186</v>
      </c>
      <c r="C87" s="508"/>
      <c r="D87" s="93">
        <v>0</v>
      </c>
      <c r="E87" s="93">
        <v>0</v>
      </c>
      <c r="F87" s="93">
        <v>0</v>
      </c>
      <c r="G87" s="93">
        <v>0</v>
      </c>
      <c r="H87" s="93">
        <v>0</v>
      </c>
      <c r="I87" s="93">
        <v>0</v>
      </c>
      <c r="J87" s="100">
        <v>0</v>
      </c>
    </row>
    <row r="88" spans="1:10" s="62" customFormat="1" ht="29.25" customHeight="1">
      <c r="A88" s="507">
        <v>15</v>
      </c>
      <c r="B88" s="63" t="s">
        <v>185</v>
      </c>
      <c r="C88" s="508" t="s">
        <v>180</v>
      </c>
      <c r="D88" s="92">
        <v>0</v>
      </c>
      <c r="E88" s="92">
        <v>0</v>
      </c>
      <c r="F88" s="92">
        <v>0</v>
      </c>
      <c r="G88" s="92">
        <v>0</v>
      </c>
      <c r="H88" s="92">
        <v>0</v>
      </c>
      <c r="I88" s="92">
        <v>0</v>
      </c>
      <c r="J88" s="99">
        <v>0</v>
      </c>
    </row>
    <row r="89" spans="1:10" ht="13.5" customHeight="1">
      <c r="A89" s="507"/>
      <c r="B89" s="61" t="s">
        <v>179</v>
      </c>
      <c r="C89" s="508"/>
      <c r="D89" s="93">
        <v>0</v>
      </c>
      <c r="E89" s="93">
        <v>0</v>
      </c>
      <c r="F89" s="93">
        <v>0</v>
      </c>
      <c r="G89" s="93">
        <v>0</v>
      </c>
      <c r="H89" s="93">
        <v>0</v>
      </c>
      <c r="I89" s="93">
        <v>0</v>
      </c>
      <c r="J89" s="100">
        <v>0</v>
      </c>
    </row>
    <row r="90" spans="1:10" ht="48" customHeight="1">
      <c r="A90" s="507"/>
      <c r="B90" s="61" t="s">
        <v>184</v>
      </c>
      <c r="C90" s="508"/>
      <c r="D90" s="93">
        <v>0</v>
      </c>
      <c r="E90" s="93">
        <v>0</v>
      </c>
      <c r="F90" s="93">
        <v>0</v>
      </c>
      <c r="G90" s="93">
        <v>0</v>
      </c>
      <c r="H90" s="93">
        <v>0</v>
      </c>
      <c r="I90" s="93">
        <v>0</v>
      </c>
      <c r="J90" s="100">
        <v>0</v>
      </c>
    </row>
    <row r="91" spans="1:10" ht="29.25" customHeight="1">
      <c r="A91" s="507"/>
      <c r="B91" s="61" t="s">
        <v>177</v>
      </c>
      <c r="C91" s="508"/>
      <c r="D91" s="93">
        <v>0</v>
      </c>
      <c r="E91" s="93">
        <v>0</v>
      </c>
      <c r="F91" s="93">
        <v>0</v>
      </c>
      <c r="G91" s="93">
        <v>0</v>
      </c>
      <c r="H91" s="93">
        <v>0</v>
      </c>
      <c r="I91" s="93">
        <v>0</v>
      </c>
      <c r="J91" s="100">
        <v>0</v>
      </c>
    </row>
    <row r="92" spans="1:10" s="62" customFormat="1" ht="43.5" customHeight="1">
      <c r="A92" s="507">
        <v>16</v>
      </c>
      <c r="B92" s="63" t="s">
        <v>183</v>
      </c>
      <c r="C92" s="508" t="s">
        <v>180</v>
      </c>
      <c r="D92" s="94">
        <v>14</v>
      </c>
      <c r="E92" s="167">
        <f>SUM(E93:E95)</f>
        <v>1</v>
      </c>
      <c r="F92" s="94">
        <v>14</v>
      </c>
      <c r="G92" s="94">
        <v>14</v>
      </c>
      <c r="H92" s="94">
        <v>14</v>
      </c>
      <c r="I92" s="94">
        <v>16</v>
      </c>
      <c r="J92" s="101">
        <v>16</v>
      </c>
    </row>
    <row r="93" spans="1:10" ht="17.25" customHeight="1">
      <c r="A93" s="507"/>
      <c r="B93" s="168" t="s">
        <v>179</v>
      </c>
      <c r="C93" s="508"/>
      <c r="D93" s="183">
        <f>D92-D94-D95</f>
        <v>1</v>
      </c>
      <c r="E93" s="176">
        <v>0</v>
      </c>
      <c r="F93" s="183">
        <f>F92-F94-F95</f>
        <v>2</v>
      </c>
      <c r="G93" s="183">
        <f>G92-G94-G95</f>
        <v>3</v>
      </c>
      <c r="H93" s="183">
        <f>H92-H94-H95</f>
        <v>5</v>
      </c>
      <c r="I93" s="183">
        <f>I92-I94-I95</f>
        <v>11</v>
      </c>
      <c r="J93" s="184">
        <f>J92-J94-J95</f>
        <v>13</v>
      </c>
    </row>
    <row r="94" spans="1:10" ht="27.75" customHeight="1">
      <c r="A94" s="507"/>
      <c r="B94" s="168" t="s">
        <v>178</v>
      </c>
      <c r="C94" s="508"/>
      <c r="D94" s="176">
        <v>12</v>
      </c>
      <c r="E94" s="176">
        <v>0</v>
      </c>
      <c r="F94" s="176">
        <f>D94-E94</f>
        <v>12</v>
      </c>
      <c r="G94" s="176">
        <v>11</v>
      </c>
      <c r="H94" s="176">
        <v>9</v>
      </c>
      <c r="I94" s="176">
        <v>5</v>
      </c>
      <c r="J94" s="177">
        <v>3</v>
      </c>
    </row>
    <row r="95" spans="1:10" ht="29.25" customHeight="1">
      <c r="A95" s="507"/>
      <c r="B95" s="168" t="s">
        <v>177</v>
      </c>
      <c r="C95" s="508"/>
      <c r="D95" s="176">
        <v>1</v>
      </c>
      <c r="E95" s="176">
        <v>1</v>
      </c>
      <c r="F95" s="176">
        <f>D95-E95</f>
        <v>0</v>
      </c>
      <c r="G95" s="176">
        <v>0</v>
      </c>
      <c r="H95" s="176">
        <v>0</v>
      </c>
      <c r="I95" s="176">
        <v>0</v>
      </c>
      <c r="J95" s="177">
        <v>0</v>
      </c>
    </row>
    <row r="96" spans="1:10" s="62" customFormat="1" ht="27" customHeight="1">
      <c r="A96" s="507">
        <v>17</v>
      </c>
      <c r="B96" s="63" t="s">
        <v>182</v>
      </c>
      <c r="C96" s="508" t="s">
        <v>180</v>
      </c>
      <c r="D96" s="94">
        <v>40</v>
      </c>
      <c r="E96" s="167">
        <f>SUM(E97:E99)</f>
        <v>2</v>
      </c>
      <c r="F96" s="94">
        <v>41</v>
      </c>
      <c r="G96" s="94">
        <v>41</v>
      </c>
      <c r="H96" s="94">
        <v>41</v>
      </c>
      <c r="I96" s="94">
        <v>41</v>
      </c>
      <c r="J96" s="101">
        <v>41</v>
      </c>
    </row>
    <row r="97" spans="1:10" ht="20.25" customHeight="1">
      <c r="A97" s="507"/>
      <c r="B97" s="61" t="s">
        <v>179</v>
      </c>
      <c r="C97" s="508"/>
      <c r="D97" s="183">
        <f>D96-D98-D99</f>
        <v>12</v>
      </c>
      <c r="E97" s="176">
        <v>0</v>
      </c>
      <c r="F97" s="183">
        <f>F96-F98-F99</f>
        <v>15</v>
      </c>
      <c r="G97" s="183">
        <f>G96-G98-G99</f>
        <v>18</v>
      </c>
      <c r="H97" s="183">
        <f>H96-H98-H99</f>
        <v>18</v>
      </c>
      <c r="I97" s="183">
        <f>I96-I98-I99</f>
        <v>18</v>
      </c>
      <c r="J97" s="184">
        <f>J96-J98-J99</f>
        <v>20</v>
      </c>
    </row>
    <row r="98" spans="1:10" ht="26.25" customHeight="1">
      <c r="A98" s="507"/>
      <c r="B98" s="61" t="s">
        <v>178</v>
      </c>
      <c r="C98" s="508"/>
      <c r="D98" s="176">
        <v>25</v>
      </c>
      <c r="E98" s="176">
        <v>0</v>
      </c>
      <c r="F98" s="176">
        <v>25</v>
      </c>
      <c r="G98" s="176">
        <v>23</v>
      </c>
      <c r="H98" s="176">
        <v>23</v>
      </c>
      <c r="I98" s="176">
        <v>23</v>
      </c>
      <c r="J98" s="177">
        <v>21</v>
      </c>
    </row>
    <row r="99" spans="1:10" ht="30" customHeight="1">
      <c r="A99" s="507"/>
      <c r="B99" s="61" t="s">
        <v>177</v>
      </c>
      <c r="C99" s="508"/>
      <c r="D99" s="176">
        <v>3</v>
      </c>
      <c r="E99" s="176">
        <v>2</v>
      </c>
      <c r="F99" s="176">
        <v>1</v>
      </c>
      <c r="G99" s="176">
        <v>0</v>
      </c>
      <c r="H99" s="176">
        <v>0</v>
      </c>
      <c r="I99" s="176">
        <v>0</v>
      </c>
      <c r="J99" s="177">
        <v>0</v>
      </c>
    </row>
    <row r="100" spans="1:10" s="62" customFormat="1" ht="29.25" customHeight="1">
      <c r="A100" s="507">
        <v>18</v>
      </c>
      <c r="B100" s="63" t="s">
        <v>181</v>
      </c>
      <c r="C100" s="508" t="s">
        <v>180</v>
      </c>
      <c r="D100" s="94">
        <v>928</v>
      </c>
      <c r="E100" s="167">
        <f>SUM(E101:E103)</f>
        <v>145</v>
      </c>
      <c r="F100" s="94">
        <v>928</v>
      </c>
      <c r="G100" s="94">
        <v>933</v>
      </c>
      <c r="H100" s="94">
        <v>939</v>
      </c>
      <c r="I100" s="94">
        <v>943</v>
      </c>
      <c r="J100" s="101">
        <v>946</v>
      </c>
    </row>
    <row r="101" spans="1:10" ht="17.25" customHeight="1">
      <c r="A101" s="507"/>
      <c r="B101" s="61" t="s">
        <v>179</v>
      </c>
      <c r="C101" s="508"/>
      <c r="D101" s="183">
        <f>D100-D102-D103</f>
        <v>370</v>
      </c>
      <c r="E101" s="176">
        <v>0</v>
      </c>
      <c r="F101" s="183">
        <f>F100-F102-F103</f>
        <v>515</v>
      </c>
      <c r="G101" s="183">
        <f>G100-G102-G103</f>
        <v>583</v>
      </c>
      <c r="H101" s="183">
        <f>H100-H102-H103</f>
        <v>644</v>
      </c>
      <c r="I101" s="183">
        <f>I100-I102-I103</f>
        <v>710</v>
      </c>
      <c r="J101" s="184">
        <f>J100-J102-J103</f>
        <v>739</v>
      </c>
    </row>
    <row r="102" spans="1:10" ht="29.25" customHeight="1">
      <c r="A102" s="507"/>
      <c r="B102" s="61" t="s">
        <v>178</v>
      </c>
      <c r="C102" s="508"/>
      <c r="D102" s="176">
        <v>558</v>
      </c>
      <c r="E102" s="176">
        <v>145</v>
      </c>
      <c r="F102" s="176">
        <f>D102-E102</f>
        <v>413</v>
      </c>
      <c r="G102" s="176">
        <v>350</v>
      </c>
      <c r="H102" s="176">
        <v>295</v>
      </c>
      <c r="I102" s="176">
        <v>233</v>
      </c>
      <c r="J102" s="177">
        <v>207</v>
      </c>
    </row>
    <row r="103" spans="1:10" ht="31.5" customHeight="1" thickBot="1">
      <c r="A103" s="513"/>
      <c r="B103" s="102" t="s">
        <v>177</v>
      </c>
      <c r="C103" s="514"/>
      <c r="D103" s="185">
        <v>0</v>
      </c>
      <c r="E103" s="185">
        <v>0</v>
      </c>
      <c r="F103" s="185">
        <v>0</v>
      </c>
      <c r="G103" s="185">
        <v>0</v>
      </c>
      <c r="H103" s="185">
        <v>0</v>
      </c>
      <c r="I103" s="185">
        <v>0</v>
      </c>
      <c r="J103" s="186">
        <v>0</v>
      </c>
    </row>
    <row r="104" spans="1:10" ht="15" customHeight="1">
      <c r="A104" s="511"/>
      <c r="B104" s="511"/>
      <c r="C104" s="511"/>
      <c r="D104" s="511"/>
      <c r="E104" s="511"/>
      <c r="F104" s="511"/>
    </row>
    <row r="105" spans="1:10" ht="30" customHeight="1">
      <c r="A105" s="512" t="s">
        <v>176</v>
      </c>
      <c r="B105" s="512"/>
      <c r="C105" s="512"/>
      <c r="D105" s="512"/>
      <c r="E105" s="512"/>
      <c r="F105" s="512"/>
    </row>
    <row r="106" spans="1:10">
      <c r="A106" s="512" t="s">
        <v>169</v>
      </c>
      <c r="B106" s="512"/>
      <c r="C106" s="512"/>
      <c r="D106" s="512"/>
      <c r="E106" s="512"/>
      <c r="F106" s="512"/>
    </row>
  </sheetData>
  <autoFilter ref="A6:K103" xr:uid="{00000000-0009-0000-0000-000003000000}"/>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J47"/>
  <sheetViews>
    <sheetView zoomScale="90" zoomScaleNormal="90" workbookViewId="0">
      <pane xSplit="2" ySplit="6" topLeftCell="C31" activePane="bottomRight" state="frozen"/>
      <selection pane="topRight" activeCell="C1" sqref="C1"/>
      <selection pane="bottomLeft" activeCell="A7" sqref="A7"/>
      <selection pane="bottomRight" activeCell="H49" sqref="H49"/>
    </sheetView>
  </sheetViews>
  <sheetFormatPr defaultRowHeight="15"/>
  <cols>
    <col min="1" max="1" width="3.5703125" style="394" customWidth="1"/>
    <col min="2" max="2" width="31" style="261" customWidth="1"/>
    <col min="3" max="4" width="10.140625" style="262" customWidth="1"/>
    <col min="5" max="5" width="12" style="263" customWidth="1"/>
    <col min="6" max="6" width="11.5703125" style="261" customWidth="1"/>
    <col min="7" max="7" width="16.28515625" style="261" customWidth="1"/>
    <col min="8" max="8" width="18.7109375" style="261" customWidth="1"/>
    <col min="9" max="9" width="18" style="261" customWidth="1"/>
    <col min="10" max="10" width="9.140625" style="261"/>
    <col min="11" max="16384" width="9.140625" style="169"/>
  </cols>
  <sheetData>
    <row r="1" spans="1:10" ht="15.75">
      <c r="A1" s="517"/>
      <c r="B1" s="517"/>
      <c r="C1" s="517"/>
      <c r="D1" s="517"/>
      <c r="E1" s="517"/>
      <c r="F1" s="517"/>
      <c r="G1" s="517"/>
      <c r="H1" s="517"/>
      <c r="I1" s="517"/>
    </row>
    <row r="2" spans="1:10">
      <c r="G2" s="518"/>
      <c r="H2" s="518"/>
      <c r="I2" s="518"/>
    </row>
    <row r="4" spans="1:10" ht="42" customHeight="1">
      <c r="A4" s="519" t="s">
        <v>457</v>
      </c>
      <c r="B4" s="519"/>
      <c r="C4" s="519"/>
      <c r="D4" s="519"/>
      <c r="E4" s="519"/>
      <c r="F4" s="519"/>
      <c r="G4" s="519"/>
      <c r="H4" s="519"/>
      <c r="I4" s="519"/>
    </row>
    <row r="5" spans="1:10" s="171" customFormat="1" ht="125.25" customHeight="1">
      <c r="A5" s="170" t="s">
        <v>0</v>
      </c>
      <c r="B5" s="420" t="s">
        <v>458</v>
      </c>
      <c r="C5" s="420" t="s">
        <v>459</v>
      </c>
      <c r="D5" s="420" t="s">
        <v>460</v>
      </c>
      <c r="E5" s="264" t="s">
        <v>461</v>
      </c>
      <c r="F5" s="420" t="s">
        <v>763</v>
      </c>
      <c r="G5" s="420" t="s">
        <v>462</v>
      </c>
      <c r="H5" s="420" t="s">
        <v>6</v>
      </c>
      <c r="I5" s="420" t="s">
        <v>463</v>
      </c>
      <c r="J5" s="265"/>
    </row>
    <row r="6" spans="1:10">
      <c r="A6" s="393">
        <v>1</v>
      </c>
      <c r="B6" s="419">
        <v>2</v>
      </c>
      <c r="C6" s="419">
        <v>3</v>
      </c>
      <c r="D6" s="419">
        <v>4</v>
      </c>
      <c r="E6" s="421">
        <v>5</v>
      </c>
      <c r="F6" s="419">
        <v>6</v>
      </c>
      <c r="G6" s="419">
        <v>7</v>
      </c>
      <c r="H6" s="419">
        <v>8</v>
      </c>
      <c r="I6" s="419">
        <v>9</v>
      </c>
    </row>
    <row r="7" spans="1:10" ht="51">
      <c r="A7" s="393">
        <v>1</v>
      </c>
      <c r="B7" s="266" t="s">
        <v>764</v>
      </c>
      <c r="C7" s="417">
        <v>2018</v>
      </c>
      <c r="D7" s="416">
        <v>2021</v>
      </c>
      <c r="E7" s="418">
        <v>1268.7470000000001</v>
      </c>
      <c r="F7" s="415"/>
      <c r="G7" s="420" t="s">
        <v>464</v>
      </c>
      <c r="H7" s="422" t="s">
        <v>37</v>
      </c>
      <c r="I7" s="420" t="s">
        <v>465</v>
      </c>
    </row>
    <row r="8" spans="1:10" ht="51">
      <c r="A8" s="393">
        <v>2</v>
      </c>
      <c r="B8" s="266" t="s">
        <v>765</v>
      </c>
      <c r="C8" s="412">
        <v>2018</v>
      </c>
      <c r="D8" s="393">
        <v>2021</v>
      </c>
      <c r="E8" s="413">
        <v>1011.933</v>
      </c>
      <c r="F8" s="414"/>
      <c r="G8" s="420" t="s">
        <v>464</v>
      </c>
      <c r="H8" s="422" t="s">
        <v>37</v>
      </c>
      <c r="I8" s="420" t="s">
        <v>465</v>
      </c>
    </row>
    <row r="9" spans="1:10" ht="51">
      <c r="A9" s="393">
        <v>3</v>
      </c>
      <c r="B9" s="266" t="s">
        <v>766</v>
      </c>
      <c r="C9" s="412">
        <v>2018</v>
      </c>
      <c r="D9" s="393">
        <v>2021</v>
      </c>
      <c r="E9" s="413">
        <v>952.34799999999996</v>
      </c>
      <c r="F9" s="414"/>
      <c r="G9" s="420" t="s">
        <v>464</v>
      </c>
      <c r="H9" s="422" t="s">
        <v>37</v>
      </c>
      <c r="I9" s="420" t="s">
        <v>465</v>
      </c>
    </row>
    <row r="10" spans="1:10" ht="38.25">
      <c r="A10" s="393">
        <v>4</v>
      </c>
      <c r="B10" s="266" t="s">
        <v>767</v>
      </c>
      <c r="C10" s="420">
        <v>2018</v>
      </c>
      <c r="D10" s="419">
        <v>2021</v>
      </c>
      <c r="E10" s="267">
        <v>2807.74</v>
      </c>
      <c r="F10" s="419"/>
      <c r="G10" s="420" t="s">
        <v>464</v>
      </c>
      <c r="H10" s="422" t="s">
        <v>37</v>
      </c>
      <c r="I10" s="420" t="s">
        <v>465</v>
      </c>
    </row>
    <row r="11" spans="1:10" ht="38.25">
      <c r="A11" s="393">
        <v>5</v>
      </c>
      <c r="B11" s="266" t="s">
        <v>768</v>
      </c>
      <c r="C11" s="420">
        <v>2018</v>
      </c>
      <c r="D11" s="419">
        <v>2021</v>
      </c>
      <c r="E11" s="267">
        <v>644.14499999999998</v>
      </c>
      <c r="F11" s="419"/>
      <c r="G11" s="420" t="s">
        <v>464</v>
      </c>
      <c r="H11" s="422" t="s">
        <v>37</v>
      </c>
      <c r="I11" s="420" t="s">
        <v>465</v>
      </c>
    </row>
    <row r="12" spans="1:10" ht="38.25">
      <c r="A12" s="393">
        <v>6</v>
      </c>
      <c r="B12" s="266" t="s">
        <v>769</v>
      </c>
      <c r="C12" s="420">
        <v>2015</v>
      </c>
      <c r="D12" s="419">
        <v>2022</v>
      </c>
      <c r="E12" s="267">
        <v>9909.64</v>
      </c>
      <c r="F12" s="419"/>
      <c r="G12" s="419" t="s">
        <v>466</v>
      </c>
      <c r="H12" s="422" t="s">
        <v>37</v>
      </c>
      <c r="I12" s="420" t="s">
        <v>839</v>
      </c>
    </row>
    <row r="13" spans="1:10" ht="38.25">
      <c r="A13" s="393">
        <v>7</v>
      </c>
      <c r="B13" s="266" t="s">
        <v>770</v>
      </c>
      <c r="C13" s="420">
        <v>2020</v>
      </c>
      <c r="D13" s="419">
        <v>2021</v>
      </c>
      <c r="E13" s="267">
        <v>12494.8</v>
      </c>
      <c r="F13" s="419"/>
      <c r="G13" s="419" t="s">
        <v>466</v>
      </c>
      <c r="H13" s="422" t="s">
        <v>37</v>
      </c>
      <c r="I13" s="420" t="s">
        <v>506</v>
      </c>
    </row>
    <row r="14" spans="1:10" ht="25.5">
      <c r="A14" s="393">
        <v>8</v>
      </c>
      <c r="B14" s="266" t="s">
        <v>771</v>
      </c>
      <c r="C14" s="420">
        <v>2015</v>
      </c>
      <c r="D14" s="419">
        <v>2021</v>
      </c>
      <c r="E14" s="267">
        <v>33094.21</v>
      </c>
      <c r="F14" s="419"/>
      <c r="G14" s="420" t="s">
        <v>464</v>
      </c>
      <c r="H14" s="422" t="s">
        <v>37</v>
      </c>
      <c r="I14" s="420" t="s">
        <v>837</v>
      </c>
    </row>
    <row r="15" spans="1:10" ht="51">
      <c r="A15" s="393">
        <v>9</v>
      </c>
      <c r="B15" s="266" t="s">
        <v>772</v>
      </c>
      <c r="C15" s="420">
        <v>2016</v>
      </c>
      <c r="D15" s="419">
        <v>2022</v>
      </c>
      <c r="E15" s="267">
        <v>37647.230000000003</v>
      </c>
      <c r="F15" s="419"/>
      <c r="G15" s="420" t="s">
        <v>466</v>
      </c>
      <c r="H15" s="422" t="s">
        <v>152</v>
      </c>
      <c r="I15" s="420" t="s">
        <v>835</v>
      </c>
    </row>
    <row r="16" spans="1:10" ht="56.25" customHeight="1">
      <c r="A16" s="393">
        <v>10</v>
      </c>
      <c r="B16" s="266" t="s">
        <v>773</v>
      </c>
      <c r="C16" s="420">
        <v>2014</v>
      </c>
      <c r="D16" s="419">
        <v>2023</v>
      </c>
      <c r="E16" s="267">
        <v>12749.08</v>
      </c>
      <c r="F16" s="419"/>
      <c r="G16" s="420" t="s">
        <v>464</v>
      </c>
      <c r="H16" s="422" t="s">
        <v>727</v>
      </c>
      <c r="I16" s="420" t="s">
        <v>781</v>
      </c>
    </row>
    <row r="17" spans="1:10" ht="25.5">
      <c r="A17" s="393">
        <v>11</v>
      </c>
      <c r="B17" s="266" t="s">
        <v>774</v>
      </c>
      <c r="C17" s="420">
        <v>2016</v>
      </c>
      <c r="D17" s="419">
        <v>2025</v>
      </c>
      <c r="E17" s="267">
        <v>76274.17</v>
      </c>
      <c r="F17" s="419"/>
      <c r="G17" s="420" t="s">
        <v>466</v>
      </c>
      <c r="H17" s="422" t="s">
        <v>305</v>
      </c>
      <c r="I17" s="420" t="s">
        <v>467</v>
      </c>
    </row>
    <row r="18" spans="1:10" ht="63.75">
      <c r="A18" s="393">
        <v>12</v>
      </c>
      <c r="B18" s="266" t="s">
        <v>775</v>
      </c>
      <c r="C18" s="420">
        <v>2018</v>
      </c>
      <c r="D18" s="420">
        <v>2022</v>
      </c>
      <c r="E18" s="267">
        <v>678097.2</v>
      </c>
      <c r="F18" s="419"/>
      <c r="G18" s="420" t="s">
        <v>466</v>
      </c>
      <c r="H18" s="422" t="s">
        <v>305</v>
      </c>
      <c r="I18" s="420" t="s">
        <v>467</v>
      </c>
    </row>
    <row r="19" spans="1:10" ht="38.25">
      <c r="A19" s="393">
        <v>13</v>
      </c>
      <c r="B19" s="266" t="s">
        <v>776</v>
      </c>
      <c r="C19" s="420">
        <v>2018</v>
      </c>
      <c r="D19" s="420">
        <v>2023</v>
      </c>
      <c r="E19" s="267">
        <v>105648.454</v>
      </c>
      <c r="F19" s="419"/>
      <c r="G19" s="420" t="s">
        <v>464</v>
      </c>
      <c r="H19" s="422" t="s">
        <v>857</v>
      </c>
      <c r="I19" s="420" t="s">
        <v>838</v>
      </c>
    </row>
    <row r="20" spans="1:10" ht="51">
      <c r="A20" s="393">
        <v>14</v>
      </c>
      <c r="B20" s="266" t="s">
        <v>777</v>
      </c>
      <c r="C20" s="420">
        <v>2018</v>
      </c>
      <c r="D20" s="420">
        <v>2025</v>
      </c>
      <c r="E20" s="267">
        <v>237550</v>
      </c>
      <c r="F20" s="419"/>
      <c r="G20" s="420" t="s">
        <v>464</v>
      </c>
      <c r="H20" s="422" t="s">
        <v>152</v>
      </c>
      <c r="I20" s="420" t="s">
        <v>790</v>
      </c>
    </row>
    <row r="21" spans="1:10" ht="38.25">
      <c r="A21" s="393">
        <v>15</v>
      </c>
      <c r="B21" s="266" t="s">
        <v>778</v>
      </c>
      <c r="C21" s="420">
        <v>2018</v>
      </c>
      <c r="D21" s="420">
        <v>2024</v>
      </c>
      <c r="E21" s="267">
        <v>11777.874</v>
      </c>
      <c r="F21" s="419"/>
      <c r="G21" s="420" t="s">
        <v>464</v>
      </c>
      <c r="H21" s="422" t="s">
        <v>37</v>
      </c>
      <c r="I21" s="420" t="s">
        <v>836</v>
      </c>
    </row>
    <row r="22" spans="1:10" ht="38.25">
      <c r="A22" s="393">
        <v>16</v>
      </c>
      <c r="B22" s="266" t="s">
        <v>779</v>
      </c>
      <c r="C22" s="420">
        <v>2018</v>
      </c>
      <c r="D22" s="420">
        <v>2025</v>
      </c>
      <c r="E22" s="267">
        <v>23957.2258</v>
      </c>
      <c r="F22" s="419"/>
      <c r="G22" s="420" t="s">
        <v>464</v>
      </c>
      <c r="H22" s="422" t="s">
        <v>37</v>
      </c>
      <c r="I22" s="422" t="s">
        <v>752</v>
      </c>
    </row>
    <row r="23" spans="1:10" ht="38.25">
      <c r="A23" s="393">
        <v>17</v>
      </c>
      <c r="B23" s="266" t="s">
        <v>780</v>
      </c>
      <c r="C23" s="420">
        <v>2018</v>
      </c>
      <c r="D23" s="420">
        <v>2024</v>
      </c>
      <c r="E23" s="267">
        <v>16637.112000000001</v>
      </c>
      <c r="F23" s="419"/>
      <c r="G23" s="420" t="s">
        <v>464</v>
      </c>
      <c r="H23" s="422" t="s">
        <v>37</v>
      </c>
      <c r="I23" s="399" t="s">
        <v>468</v>
      </c>
    </row>
    <row r="24" spans="1:10" ht="38.25">
      <c r="A24" s="393">
        <v>18</v>
      </c>
      <c r="B24" s="266" t="s">
        <v>782</v>
      </c>
      <c r="C24" s="420">
        <v>2018</v>
      </c>
      <c r="D24" s="420">
        <v>2025</v>
      </c>
      <c r="E24" s="267">
        <v>19550.59</v>
      </c>
      <c r="F24" s="419"/>
      <c r="G24" s="420" t="s">
        <v>464</v>
      </c>
      <c r="H24" s="422" t="s">
        <v>37</v>
      </c>
      <c r="I24" s="420" t="s">
        <v>752</v>
      </c>
    </row>
    <row r="25" spans="1:10" ht="38.25">
      <c r="A25" s="393">
        <v>19</v>
      </c>
      <c r="B25" s="266" t="s">
        <v>487</v>
      </c>
      <c r="C25" s="420">
        <v>2018</v>
      </c>
      <c r="D25" s="420">
        <v>2024</v>
      </c>
      <c r="E25" s="267">
        <v>10810.357</v>
      </c>
      <c r="F25" s="419"/>
      <c r="G25" s="420" t="s">
        <v>464</v>
      </c>
      <c r="H25" s="422" t="s">
        <v>37</v>
      </c>
      <c r="I25" s="420" t="s">
        <v>468</v>
      </c>
    </row>
    <row r="26" spans="1:10" ht="38.25">
      <c r="A26" s="393">
        <v>20</v>
      </c>
      <c r="B26" s="266" t="s">
        <v>783</v>
      </c>
      <c r="C26" s="420">
        <v>2018</v>
      </c>
      <c r="D26" s="420">
        <v>2023</v>
      </c>
      <c r="E26" s="267">
        <v>6973.2969999999996</v>
      </c>
      <c r="F26" s="419"/>
      <c r="G26" s="420" t="s">
        <v>464</v>
      </c>
      <c r="H26" s="422" t="s">
        <v>305</v>
      </c>
      <c r="I26" s="420" t="s">
        <v>781</v>
      </c>
    </row>
    <row r="27" spans="1:10" ht="84" customHeight="1">
      <c r="A27" s="393">
        <v>21</v>
      </c>
      <c r="B27" s="266" t="s">
        <v>784</v>
      </c>
      <c r="C27" s="420">
        <v>2019</v>
      </c>
      <c r="D27" s="420">
        <v>2021</v>
      </c>
      <c r="E27" s="267">
        <v>21864.5308</v>
      </c>
      <c r="F27" s="419"/>
      <c r="G27" s="420" t="s">
        <v>466</v>
      </c>
      <c r="H27" s="422" t="s">
        <v>305</v>
      </c>
      <c r="I27" s="420" t="s">
        <v>837</v>
      </c>
    </row>
    <row r="28" spans="1:10" ht="49.5" customHeight="1">
      <c r="A28" s="393">
        <v>22</v>
      </c>
      <c r="B28" s="266" t="s">
        <v>785</v>
      </c>
      <c r="C28" s="420">
        <v>2019</v>
      </c>
      <c r="D28" s="420">
        <v>2021</v>
      </c>
      <c r="E28" s="267">
        <v>191.68299999999999</v>
      </c>
      <c r="F28" s="419"/>
      <c r="G28" s="420" t="s">
        <v>466</v>
      </c>
      <c r="H28" s="422" t="s">
        <v>305</v>
      </c>
      <c r="I28" s="420" t="s">
        <v>786</v>
      </c>
    </row>
    <row r="29" spans="1:10" ht="57" customHeight="1">
      <c r="A29" s="393">
        <v>23</v>
      </c>
      <c r="B29" s="266" t="s">
        <v>787</v>
      </c>
      <c r="C29" s="420">
        <v>2019</v>
      </c>
      <c r="D29" s="420">
        <v>2021</v>
      </c>
      <c r="E29" s="267">
        <v>258.90100000000001</v>
      </c>
      <c r="F29" s="419"/>
      <c r="G29" s="420" t="s">
        <v>466</v>
      </c>
      <c r="H29" s="422" t="s">
        <v>305</v>
      </c>
      <c r="I29" s="420" t="s">
        <v>786</v>
      </c>
    </row>
    <row r="30" spans="1:10" ht="66.75" customHeight="1">
      <c r="A30" s="393">
        <v>24</v>
      </c>
      <c r="B30" s="266" t="s">
        <v>788</v>
      </c>
      <c r="C30" s="420">
        <v>2019</v>
      </c>
      <c r="D30" s="420">
        <v>2021</v>
      </c>
      <c r="E30" s="267">
        <v>4488.933</v>
      </c>
      <c r="F30" s="419"/>
      <c r="G30" s="420" t="s">
        <v>466</v>
      </c>
      <c r="H30" s="422" t="s">
        <v>37</v>
      </c>
      <c r="I30" s="420" t="s">
        <v>786</v>
      </c>
    </row>
    <row r="31" spans="1:10" ht="51" customHeight="1">
      <c r="A31" s="393">
        <v>25</v>
      </c>
      <c r="B31" s="455" t="s">
        <v>789</v>
      </c>
      <c r="C31" s="420">
        <v>2019</v>
      </c>
      <c r="D31" s="420">
        <v>2023</v>
      </c>
      <c r="E31" s="267">
        <v>15568.648999999999</v>
      </c>
      <c r="F31" s="419"/>
      <c r="G31" s="420" t="s">
        <v>466</v>
      </c>
      <c r="H31" s="422" t="s">
        <v>37</v>
      </c>
      <c r="I31" s="420" t="s">
        <v>467</v>
      </c>
    </row>
    <row r="32" spans="1:10" s="172" customFormat="1" ht="12.75" customHeight="1">
      <c r="A32" s="520" t="s">
        <v>3</v>
      </c>
      <c r="B32" s="520"/>
      <c r="C32" s="268" t="s">
        <v>469</v>
      </c>
      <c r="D32" s="268"/>
      <c r="E32" s="267">
        <f>SUM(E7:E31)</f>
        <v>1342228.8496000003</v>
      </c>
      <c r="F32" s="419"/>
      <c r="G32" s="268" t="s">
        <v>469</v>
      </c>
      <c r="H32" s="268" t="s">
        <v>469</v>
      </c>
      <c r="I32" s="268" t="s">
        <v>469</v>
      </c>
      <c r="J32" s="269"/>
    </row>
    <row r="33" spans="1:10">
      <c r="A33" s="395"/>
      <c r="B33" s="270"/>
      <c r="C33" s="271"/>
      <c r="D33" s="271"/>
      <c r="E33" s="272"/>
      <c r="F33" s="270"/>
      <c r="G33" s="270"/>
      <c r="H33" s="270"/>
      <c r="I33" s="270"/>
    </row>
    <row r="34" spans="1:10">
      <c r="A34" s="396" t="s">
        <v>392</v>
      </c>
      <c r="B34" s="270"/>
      <c r="C34" s="271"/>
      <c r="D34" s="271"/>
      <c r="E34" s="272"/>
      <c r="F34" s="270"/>
      <c r="G34" s="270"/>
      <c r="H34" s="270"/>
      <c r="I34" s="270"/>
    </row>
    <row r="35" spans="1:10" s="173" customFormat="1" ht="14.25">
      <c r="A35" s="396" t="s">
        <v>393</v>
      </c>
      <c r="B35" s="273"/>
      <c r="C35" s="271"/>
      <c r="D35" s="271"/>
      <c r="E35" s="272"/>
      <c r="F35" s="271" t="s">
        <v>470</v>
      </c>
      <c r="G35" s="271"/>
      <c r="H35" s="521" t="s">
        <v>265</v>
      </c>
      <c r="I35" s="521"/>
      <c r="J35" s="274"/>
    </row>
    <row r="36" spans="1:10" s="174" customFormat="1">
      <c r="A36" s="397" t="s">
        <v>471</v>
      </c>
      <c r="B36" s="279"/>
      <c r="C36" s="276"/>
      <c r="D36" s="276"/>
      <c r="E36" s="277"/>
      <c r="F36" s="271" t="s">
        <v>170</v>
      </c>
      <c r="G36" s="271"/>
      <c r="H36" s="516" t="s">
        <v>171</v>
      </c>
      <c r="I36" s="516"/>
      <c r="J36" s="278"/>
    </row>
    <row r="37" spans="1:10" s="173" customFormat="1" ht="12.75">
      <c r="A37" s="397"/>
      <c r="B37" s="279"/>
      <c r="C37" s="271"/>
      <c r="D37" s="271"/>
      <c r="E37" s="272"/>
      <c r="F37" s="270"/>
      <c r="G37" s="270"/>
      <c r="H37" s="270"/>
      <c r="I37" s="270"/>
      <c r="J37" s="274"/>
    </row>
    <row r="38" spans="1:10" s="173" customFormat="1" ht="12.75">
      <c r="A38" s="515" t="s">
        <v>472</v>
      </c>
      <c r="B38" s="515"/>
      <c r="C38" s="515"/>
      <c r="D38" s="515"/>
      <c r="E38" s="515"/>
      <c r="F38" s="406" t="s">
        <v>173</v>
      </c>
      <c r="G38" s="281"/>
      <c r="H38" s="270"/>
      <c r="I38" s="270"/>
      <c r="J38" s="274"/>
    </row>
    <row r="39" spans="1:10" s="173" customFormat="1" ht="12.75">
      <c r="A39" s="398"/>
      <c r="B39" s="282"/>
      <c r="C39" s="271"/>
      <c r="D39" s="271"/>
      <c r="E39" s="272"/>
      <c r="F39" s="270"/>
      <c r="G39" s="270"/>
      <c r="H39" s="270"/>
      <c r="I39" s="270"/>
      <c r="J39" s="274"/>
    </row>
    <row r="40" spans="1:10" s="173" customFormat="1" ht="12.75">
      <c r="A40" s="395"/>
      <c r="B40" s="270"/>
      <c r="C40" s="271"/>
      <c r="D40" s="271"/>
      <c r="E40" s="272"/>
      <c r="F40" s="280"/>
      <c r="G40" s="270"/>
      <c r="H40" s="270"/>
      <c r="I40" s="270"/>
      <c r="J40" s="274"/>
    </row>
    <row r="41" spans="1:10">
      <c r="A41" s="395"/>
      <c r="B41" s="270"/>
      <c r="C41" s="271"/>
      <c r="D41" s="271"/>
      <c r="E41" s="272"/>
      <c r="F41" s="270"/>
      <c r="G41" s="270"/>
      <c r="H41" s="270"/>
      <c r="I41" s="270"/>
    </row>
    <row r="42" spans="1:10">
      <c r="A42" s="395"/>
      <c r="B42" s="270"/>
      <c r="C42" s="271"/>
      <c r="D42" s="271"/>
      <c r="E42" s="272"/>
      <c r="F42" s="270"/>
      <c r="G42" s="270"/>
      <c r="H42" s="270"/>
      <c r="I42" s="270"/>
    </row>
    <row r="43" spans="1:10" s="173" customFormat="1" ht="14.25">
      <c r="A43" s="396" t="s">
        <v>473</v>
      </c>
      <c r="B43" s="273"/>
      <c r="C43" s="271"/>
      <c r="D43" s="271"/>
      <c r="E43" s="272"/>
      <c r="F43" s="271" t="s">
        <v>470</v>
      </c>
      <c r="G43" s="271"/>
      <c r="H43" s="432" t="s">
        <v>474</v>
      </c>
      <c r="I43" s="405" t="s">
        <v>475</v>
      </c>
      <c r="J43" s="274"/>
    </row>
    <row r="44" spans="1:10" s="174" customFormat="1" ht="15.75">
      <c r="A44" s="55" t="s">
        <v>471</v>
      </c>
      <c r="B44" s="275"/>
      <c r="C44" s="276"/>
      <c r="D44" s="276"/>
      <c r="E44" s="277"/>
      <c r="F44" s="271" t="s">
        <v>170</v>
      </c>
      <c r="G44" s="271"/>
      <c r="H44" s="516" t="s">
        <v>171</v>
      </c>
      <c r="I44" s="516"/>
      <c r="J44" s="278"/>
    </row>
    <row r="45" spans="1:10" s="173" customFormat="1" ht="12.75">
      <c r="A45" s="397"/>
      <c r="B45" s="279"/>
      <c r="C45" s="271"/>
      <c r="D45" s="271"/>
      <c r="E45" s="272"/>
      <c r="F45" s="270"/>
      <c r="G45" s="270"/>
      <c r="H45" s="270"/>
      <c r="I45" s="270"/>
      <c r="J45" s="274"/>
    </row>
    <row r="46" spans="1:10" s="173" customFormat="1" ht="13.5" customHeight="1">
      <c r="A46" s="515" t="s">
        <v>472</v>
      </c>
      <c r="B46" s="515"/>
      <c r="C46" s="515"/>
      <c r="D46" s="515"/>
      <c r="E46" s="515"/>
      <c r="F46" s="281"/>
      <c r="G46" s="281"/>
      <c r="H46" s="270"/>
      <c r="I46" s="270"/>
      <c r="J46" s="274"/>
    </row>
    <row r="47" spans="1:10">
      <c r="A47" s="395"/>
      <c r="B47" s="270"/>
      <c r="C47" s="271"/>
      <c r="D47" s="271"/>
      <c r="E47" s="272"/>
      <c r="F47" s="270"/>
      <c r="G47" s="270"/>
      <c r="H47" s="270"/>
      <c r="I47" s="270"/>
    </row>
  </sheetData>
  <mergeCells count="9">
    <mergeCell ref="A38:E38"/>
    <mergeCell ref="H44:I44"/>
    <mergeCell ref="A46:E46"/>
    <mergeCell ref="A1:I1"/>
    <mergeCell ref="G2:I2"/>
    <mergeCell ref="A4:I4"/>
    <mergeCell ref="A32:B32"/>
    <mergeCell ref="H35:I35"/>
    <mergeCell ref="H36:I36"/>
  </mergeCells>
  <pageMargins left="0.15748031496062992" right="0.11811023622047245" top="0.78740157480314965" bottom="0.98425196850393704" header="0.31496062992125984"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2:H38"/>
  <sheetViews>
    <sheetView tabSelected="1" view="pageBreakPreview" zoomScale="80" zoomScaleNormal="60" zoomScaleSheetLayoutView="80" workbookViewId="0">
      <selection activeCell="J6" sqref="J6"/>
    </sheetView>
  </sheetViews>
  <sheetFormatPr defaultRowHeight="15"/>
  <cols>
    <col min="1" max="1" width="9.140625" style="338"/>
    <col min="2" max="2" width="45.28515625" style="338" customWidth="1"/>
    <col min="3" max="3" width="15" style="338" customWidth="1"/>
    <col min="4" max="4" width="15.28515625" style="338" customWidth="1"/>
    <col min="5" max="5" width="15" style="338" customWidth="1"/>
    <col min="6" max="6" width="16" style="338" customWidth="1"/>
    <col min="7" max="7" width="15.42578125" style="338" customWidth="1"/>
    <col min="8" max="8" width="15.85546875" style="338" customWidth="1"/>
    <col min="9" max="16384" width="9.140625" style="338"/>
  </cols>
  <sheetData>
    <row r="2" spans="1:8">
      <c r="F2" s="522"/>
      <c r="G2" s="522"/>
      <c r="H2" s="338" t="s">
        <v>858</v>
      </c>
    </row>
    <row r="3" spans="1:8" s="339" customFormat="1" ht="24" customHeight="1">
      <c r="A3" s="523" t="s">
        <v>728</v>
      </c>
      <c r="B3" s="524"/>
      <c r="C3" s="524"/>
      <c r="D3" s="524"/>
      <c r="E3" s="524"/>
      <c r="F3" s="524"/>
      <c r="G3" s="524"/>
      <c r="H3" s="525"/>
    </row>
    <row r="4" spans="1:8" ht="21" customHeight="1">
      <c r="A4" s="340" t="s">
        <v>729</v>
      </c>
      <c r="B4" s="341" t="s">
        <v>730</v>
      </c>
      <c r="C4" s="340">
        <v>2021</v>
      </c>
      <c r="D4" s="340">
        <v>2022</v>
      </c>
      <c r="E4" s="340">
        <v>2023</v>
      </c>
      <c r="F4" s="340">
        <v>2024</v>
      </c>
      <c r="G4" s="340">
        <v>2025</v>
      </c>
      <c r="H4" s="476" t="s">
        <v>218</v>
      </c>
    </row>
    <row r="5" spans="1:8" ht="15.75">
      <c r="A5" s="342"/>
      <c r="B5" s="343" t="s">
        <v>731</v>
      </c>
      <c r="C5" s="344">
        <f>C6+C12</f>
        <v>46296</v>
      </c>
      <c r="D5" s="344">
        <f>D6+D12</f>
        <v>51034</v>
      </c>
      <c r="E5" s="344">
        <f>E6+E12</f>
        <v>56127</v>
      </c>
      <c r="F5" s="344">
        <f>F6+F12</f>
        <v>61729</v>
      </c>
      <c r="G5" s="344">
        <f>G6+G12</f>
        <v>67891</v>
      </c>
      <c r="H5" s="344">
        <f>SUM(C5:G5)</f>
        <v>283077</v>
      </c>
    </row>
    <row r="6" spans="1:8" s="349" customFormat="1" ht="15.75">
      <c r="A6" s="345">
        <v>1</v>
      </c>
      <c r="B6" s="346" t="s">
        <v>732</v>
      </c>
      <c r="C6" s="347">
        <f>SUM(C7:C11)</f>
        <v>46296</v>
      </c>
      <c r="D6" s="347">
        <f>SUM(D7:D11)</f>
        <v>51034</v>
      </c>
      <c r="E6" s="347">
        <f>SUM(E7:E11)</f>
        <v>56127</v>
      </c>
      <c r="F6" s="347">
        <f>SUM(F7:F11)</f>
        <v>61729</v>
      </c>
      <c r="G6" s="347">
        <f>SUM(G7:G11)</f>
        <v>67891</v>
      </c>
      <c r="H6" s="348">
        <f>SUM(C6:G6)</f>
        <v>283077</v>
      </c>
    </row>
    <row r="7" spans="1:8" s="349" customFormat="1" ht="15.75">
      <c r="A7" s="350" t="s">
        <v>733</v>
      </c>
      <c r="B7" s="351" t="s">
        <v>734</v>
      </c>
      <c r="C7" s="352">
        <v>26671</v>
      </c>
      <c r="D7" s="352">
        <v>29338</v>
      </c>
      <c r="E7" s="352">
        <v>32272</v>
      </c>
      <c r="F7" s="352">
        <v>35499</v>
      </c>
      <c r="G7" s="352">
        <v>39049</v>
      </c>
      <c r="H7" s="353">
        <f>SUM(C7:G7)</f>
        <v>162829</v>
      </c>
    </row>
    <row r="8" spans="1:8" s="349" customFormat="1" ht="15.75">
      <c r="A8" s="350" t="s">
        <v>735</v>
      </c>
      <c r="B8" s="351" t="s">
        <v>275</v>
      </c>
      <c r="C8" s="354">
        <v>14111</v>
      </c>
      <c r="D8" s="352">
        <v>15522</v>
      </c>
      <c r="E8" s="352">
        <v>17074</v>
      </c>
      <c r="F8" s="352">
        <v>18782</v>
      </c>
      <c r="G8" s="352">
        <v>20660</v>
      </c>
      <c r="H8" s="353">
        <f t="shared" ref="H8:H11" si="0">SUM(C8:G8)</f>
        <v>86149</v>
      </c>
    </row>
    <row r="9" spans="1:8" s="349" customFormat="1" ht="15.75">
      <c r="A9" s="350" t="s">
        <v>736</v>
      </c>
      <c r="B9" s="351" t="s">
        <v>737</v>
      </c>
      <c r="C9" s="352">
        <v>5514</v>
      </c>
      <c r="D9" s="352">
        <v>6065</v>
      </c>
      <c r="E9" s="352">
        <v>6672</v>
      </c>
      <c r="F9" s="352">
        <v>7339</v>
      </c>
      <c r="G9" s="352">
        <v>8073</v>
      </c>
      <c r="H9" s="353">
        <f t="shared" si="0"/>
        <v>33663</v>
      </c>
    </row>
    <row r="10" spans="1:8" s="349" customFormat="1" ht="15.75">
      <c r="A10" s="350" t="s">
        <v>738</v>
      </c>
      <c r="B10" s="351" t="s">
        <v>739</v>
      </c>
      <c r="C10" s="354"/>
      <c r="D10" s="352"/>
      <c r="E10" s="352"/>
      <c r="F10" s="352"/>
      <c r="G10" s="352"/>
      <c r="H10" s="353"/>
    </row>
    <row r="11" spans="1:8" s="349" customFormat="1" ht="15.75">
      <c r="A11" s="350" t="s">
        <v>740</v>
      </c>
      <c r="B11" s="351" t="s">
        <v>298</v>
      </c>
      <c r="C11" s="354">
        <v>0</v>
      </c>
      <c r="D11" s="352">
        <v>109</v>
      </c>
      <c r="E11" s="352">
        <v>109</v>
      </c>
      <c r="F11" s="352">
        <v>109</v>
      </c>
      <c r="G11" s="352">
        <v>109</v>
      </c>
      <c r="H11" s="353">
        <f t="shared" si="0"/>
        <v>436</v>
      </c>
    </row>
    <row r="12" spans="1:8" s="349" customFormat="1" ht="15.75">
      <c r="A12" s="345">
        <v>2</v>
      </c>
      <c r="B12" s="346" t="s">
        <v>741</v>
      </c>
      <c r="C12" s="347">
        <v>0</v>
      </c>
      <c r="D12" s="347"/>
      <c r="E12" s="347"/>
      <c r="F12" s="347"/>
      <c r="G12" s="347"/>
      <c r="H12" s="348"/>
    </row>
    <row r="13" spans="1:8" s="349" customFormat="1" ht="15.75">
      <c r="A13" s="350" t="s">
        <v>742</v>
      </c>
      <c r="B13" s="351" t="s">
        <v>743</v>
      </c>
      <c r="C13" s="354"/>
      <c r="D13" s="354"/>
      <c r="E13" s="354"/>
      <c r="F13" s="354"/>
      <c r="G13" s="354"/>
      <c r="H13" s="355"/>
    </row>
    <row r="14" spans="1:8" s="349" customFormat="1" ht="15.75">
      <c r="A14" s="350" t="s">
        <v>744</v>
      </c>
      <c r="B14" s="351" t="s">
        <v>745</v>
      </c>
      <c r="C14" s="354"/>
      <c r="D14" s="354"/>
      <c r="E14" s="354"/>
      <c r="F14" s="354"/>
      <c r="G14" s="354"/>
      <c r="H14" s="355"/>
    </row>
    <row r="15" spans="1:8" s="349" customFormat="1"/>
    <row r="16" spans="1:8" s="349" customFormat="1"/>
    <row r="18" spans="1:8" s="339" customFormat="1" ht="70.5" customHeight="1">
      <c r="A18" s="526" t="s">
        <v>746</v>
      </c>
      <c r="B18" s="526"/>
      <c r="C18" s="526"/>
      <c r="D18" s="526"/>
      <c r="E18" s="526"/>
      <c r="F18" s="526"/>
      <c r="G18" s="526"/>
      <c r="H18" s="526"/>
    </row>
    <row r="19" spans="1:8">
      <c r="A19" s="523" t="s">
        <v>747</v>
      </c>
      <c r="B19" s="524"/>
      <c r="C19" s="524"/>
      <c r="D19" s="524"/>
      <c r="E19" s="524"/>
      <c r="F19" s="524"/>
      <c r="G19" s="524"/>
      <c r="H19" s="525"/>
    </row>
    <row r="20" spans="1:8" ht="20.25" customHeight="1">
      <c r="A20" s="356" t="s">
        <v>729</v>
      </c>
      <c r="B20" s="357" t="s">
        <v>730</v>
      </c>
      <c r="C20" s="340">
        <v>2021</v>
      </c>
      <c r="D20" s="358">
        <v>2022</v>
      </c>
      <c r="E20" s="358">
        <v>2023</v>
      </c>
      <c r="F20" s="358">
        <v>2024</v>
      </c>
      <c r="G20" s="358">
        <v>2025</v>
      </c>
      <c r="H20" s="476" t="s">
        <v>218</v>
      </c>
    </row>
    <row r="21" spans="1:8" ht="15.75">
      <c r="A21" s="356"/>
      <c r="B21" s="359" t="s">
        <v>731</v>
      </c>
      <c r="C21" s="344">
        <f>C22+C28</f>
        <v>218603</v>
      </c>
      <c r="D21" s="344">
        <f>D22+D28</f>
        <v>243700</v>
      </c>
      <c r="E21" s="344">
        <f>E22+E28</f>
        <v>267986</v>
      </c>
      <c r="F21" s="344">
        <f>F22+F28</f>
        <v>294682</v>
      </c>
      <c r="G21" s="344">
        <f>G22+G28</f>
        <v>324030</v>
      </c>
      <c r="H21" s="344">
        <f>SUM(C21:G21)</f>
        <v>1349001</v>
      </c>
    </row>
    <row r="22" spans="1:8" ht="15.75">
      <c r="A22" s="345">
        <v>1</v>
      </c>
      <c r="B22" s="346" t="s">
        <v>732</v>
      </c>
      <c r="C22" s="347">
        <f>SUM(C23:C27)</f>
        <v>218603</v>
      </c>
      <c r="D22" s="347">
        <f>SUM(D23:D27)</f>
        <v>243700</v>
      </c>
      <c r="E22" s="347">
        <f>SUM(E23:E27)</f>
        <v>267986</v>
      </c>
      <c r="F22" s="347">
        <f>SUM(F23:F27)</f>
        <v>294682</v>
      </c>
      <c r="G22" s="347">
        <f>SUM(G23:G27)</f>
        <v>324030</v>
      </c>
      <c r="H22" s="348">
        <f>SUM(C22:G22)</f>
        <v>1349001</v>
      </c>
    </row>
    <row r="23" spans="1:8" ht="15.75">
      <c r="A23" s="350" t="s">
        <v>733</v>
      </c>
      <c r="B23" s="351" t="s">
        <v>734</v>
      </c>
      <c r="C23" s="352">
        <v>72925</v>
      </c>
      <c r="D23" s="352">
        <v>81306</v>
      </c>
      <c r="E23" s="352">
        <v>89411</v>
      </c>
      <c r="F23" s="352">
        <v>98320</v>
      </c>
      <c r="G23" s="352">
        <v>108114</v>
      </c>
      <c r="H23" s="352">
        <f>SUM(C23:G23)</f>
        <v>450076</v>
      </c>
    </row>
    <row r="24" spans="1:8" ht="15.75">
      <c r="A24" s="350" t="s">
        <v>735</v>
      </c>
      <c r="B24" s="351" t="s">
        <v>275</v>
      </c>
      <c r="C24" s="352">
        <v>140164</v>
      </c>
      <c r="D24" s="352">
        <v>156220</v>
      </c>
      <c r="E24" s="352">
        <v>171794</v>
      </c>
      <c r="F24" s="352">
        <v>188914</v>
      </c>
      <c r="G24" s="352">
        <v>207734</v>
      </c>
      <c r="H24" s="352">
        <f t="shared" ref="H24:H27" si="1">SUM(C24:G24)</f>
        <v>864826</v>
      </c>
    </row>
    <row r="25" spans="1:8" ht="15.75">
      <c r="A25" s="350" t="s">
        <v>736</v>
      </c>
      <c r="B25" s="351" t="s">
        <v>737</v>
      </c>
      <c r="C25" s="352">
        <v>5514</v>
      </c>
      <c r="D25" s="352">
        <v>6065</v>
      </c>
      <c r="E25" s="352">
        <v>6672</v>
      </c>
      <c r="F25" s="352">
        <v>7339</v>
      </c>
      <c r="G25" s="352">
        <v>8073</v>
      </c>
      <c r="H25" s="352">
        <f t="shared" si="1"/>
        <v>33663</v>
      </c>
    </row>
    <row r="26" spans="1:8" ht="15.75">
      <c r="A26" s="350" t="s">
        <v>738</v>
      </c>
      <c r="B26" s="351" t="s">
        <v>739</v>
      </c>
      <c r="C26" s="352">
        <v>0</v>
      </c>
      <c r="D26" s="352"/>
      <c r="E26" s="352"/>
      <c r="F26" s="352"/>
      <c r="G26" s="352"/>
      <c r="H26" s="352"/>
    </row>
    <row r="27" spans="1:8" ht="15.75">
      <c r="A27" s="350" t="s">
        <v>740</v>
      </c>
      <c r="B27" s="351" t="s">
        <v>298</v>
      </c>
      <c r="C27" s="352">
        <v>0</v>
      </c>
      <c r="D27" s="352">
        <v>109</v>
      </c>
      <c r="E27" s="352">
        <v>109</v>
      </c>
      <c r="F27" s="352">
        <v>109</v>
      </c>
      <c r="G27" s="352">
        <v>109</v>
      </c>
      <c r="H27" s="352">
        <f t="shared" si="1"/>
        <v>436</v>
      </c>
    </row>
    <row r="28" spans="1:8" ht="15.75">
      <c r="A28" s="345">
        <v>2</v>
      </c>
      <c r="B28" s="346" t="s">
        <v>741</v>
      </c>
      <c r="C28" s="347">
        <v>0</v>
      </c>
      <c r="D28" s="360"/>
      <c r="E28" s="360"/>
      <c r="F28" s="360"/>
      <c r="G28" s="360"/>
      <c r="H28" s="360"/>
    </row>
    <row r="29" spans="1:8" ht="15.75">
      <c r="A29" s="350" t="s">
        <v>742</v>
      </c>
      <c r="B29" s="351" t="s">
        <v>743</v>
      </c>
      <c r="C29" s="360"/>
      <c r="D29" s="360"/>
      <c r="E29" s="360"/>
      <c r="F29" s="360"/>
      <c r="G29" s="360"/>
      <c r="H29" s="360"/>
    </row>
    <row r="30" spans="1:8" ht="15.75">
      <c r="A30" s="350" t="s">
        <v>744</v>
      </c>
      <c r="B30" s="351" t="s">
        <v>745</v>
      </c>
      <c r="C30" s="360"/>
      <c r="D30" s="360"/>
      <c r="E30" s="360"/>
      <c r="F30" s="360"/>
      <c r="G30" s="360"/>
      <c r="H30" s="360"/>
    </row>
    <row r="34" spans="2:8" ht="15.75">
      <c r="B34" s="361" t="s">
        <v>392</v>
      </c>
      <c r="C34" s="362"/>
      <c r="D34" s="362"/>
      <c r="E34" s="362"/>
      <c r="F34" s="362"/>
    </row>
    <row r="35" spans="2:8" s="349" customFormat="1" ht="15.75">
      <c r="B35" s="361" t="s">
        <v>393</v>
      </c>
      <c r="C35" s="403"/>
      <c r="D35" s="404"/>
      <c r="F35" s="400"/>
      <c r="G35" s="401" t="s">
        <v>265</v>
      </c>
      <c r="H35" s="400"/>
    </row>
    <row r="36" spans="2:8" s="349" customFormat="1">
      <c r="B36" s="175" t="s">
        <v>851</v>
      </c>
      <c r="C36" s="527" t="s">
        <v>170</v>
      </c>
      <c r="D36" s="527"/>
      <c r="G36" s="402" t="s">
        <v>171</v>
      </c>
    </row>
    <row r="37" spans="2:8" s="349" customFormat="1" ht="15.75">
      <c r="B37" s="364"/>
      <c r="C37" s="363"/>
      <c r="D37" s="363"/>
      <c r="E37" s="363"/>
      <c r="F37" s="363"/>
      <c r="G37" s="365"/>
    </row>
    <row r="38" spans="2:8" s="349" customFormat="1" ht="15.75">
      <c r="B38" s="366" t="s">
        <v>174</v>
      </c>
      <c r="C38" s="364"/>
      <c r="D38" s="364"/>
      <c r="E38" s="364"/>
      <c r="F38" s="363"/>
      <c r="G38" s="365"/>
    </row>
  </sheetData>
  <mergeCells count="5">
    <mergeCell ref="F2:G2"/>
    <mergeCell ref="A3:H3"/>
    <mergeCell ref="A18:H18"/>
    <mergeCell ref="A19:H19"/>
    <mergeCell ref="C36:D36"/>
  </mergeCells>
  <pageMargins left="0.6692913385826772" right="0.55118110236220474" top="0.78740157480314965" bottom="0.98425196850393704" header="0.51181102362204722" footer="0.51181102362204722"/>
  <pageSetup paperSize="9" scale="64" orientation="landscape" r:id="rId1"/>
  <headerFooter alignWithMargins="0"/>
  <colBreaks count="1" manualBreakCount="1">
    <brk id="8" max="4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5:F9"/>
  <sheetViews>
    <sheetView topLeftCell="A4" workbookViewId="0">
      <selection activeCell="H8" sqref="H8"/>
    </sheetView>
  </sheetViews>
  <sheetFormatPr defaultRowHeight="15"/>
  <cols>
    <col min="1" max="1" width="38.42578125" style="113" customWidth="1"/>
    <col min="2" max="2" width="8.42578125" style="111" customWidth="1"/>
    <col min="3" max="3" width="29.28515625" style="113" customWidth="1"/>
    <col min="4" max="4" width="10.140625" style="111" customWidth="1"/>
    <col min="5" max="5" width="22.5703125" style="113" customWidth="1"/>
    <col min="6" max="6" width="18.85546875" style="113" customWidth="1"/>
    <col min="7" max="252" width="9.140625" style="113"/>
    <col min="253" max="253" width="52.140625" style="113" customWidth="1"/>
    <col min="254" max="254" width="8.42578125" style="113" customWidth="1"/>
    <col min="255" max="255" width="0" style="113" hidden="1" customWidth="1"/>
    <col min="256" max="256" width="9.140625" style="113"/>
    <col min="257" max="257" width="29.28515625" style="113" customWidth="1"/>
    <col min="258" max="258" width="8.140625" style="113" customWidth="1"/>
    <col min="259" max="259" width="14" style="113" customWidth="1"/>
    <col min="260" max="260" width="0" style="113" hidden="1" customWidth="1"/>
    <col min="261" max="261" width="22.5703125" style="113" customWidth="1"/>
    <col min="262" max="262" width="16.140625" style="113" customWidth="1"/>
    <col min="263" max="508" width="9.140625" style="113"/>
    <col min="509" max="509" width="52.140625" style="113" customWidth="1"/>
    <col min="510" max="510" width="8.42578125" style="113" customWidth="1"/>
    <col min="511" max="511" width="0" style="113" hidden="1" customWidth="1"/>
    <col min="512" max="512" width="9.140625" style="113"/>
    <col min="513" max="513" width="29.28515625" style="113" customWidth="1"/>
    <col min="514" max="514" width="8.140625" style="113" customWidth="1"/>
    <col min="515" max="515" width="14" style="113" customWidth="1"/>
    <col min="516" max="516" width="0" style="113" hidden="1" customWidth="1"/>
    <col min="517" max="517" width="22.5703125" style="113" customWidth="1"/>
    <col min="518" max="518" width="16.140625" style="113" customWidth="1"/>
    <col min="519" max="764" width="9.140625" style="113"/>
    <col min="765" max="765" width="52.140625" style="113" customWidth="1"/>
    <col min="766" max="766" width="8.42578125" style="113" customWidth="1"/>
    <col min="767" max="767" width="0" style="113" hidden="1" customWidth="1"/>
    <col min="768" max="768" width="9.140625" style="113"/>
    <col min="769" max="769" width="29.28515625" style="113" customWidth="1"/>
    <col min="770" max="770" width="8.140625" style="113" customWidth="1"/>
    <col min="771" max="771" width="14" style="113" customWidth="1"/>
    <col min="772" max="772" width="0" style="113" hidden="1" customWidth="1"/>
    <col min="773" max="773" width="22.5703125" style="113" customWidth="1"/>
    <col min="774" max="774" width="16.140625" style="113" customWidth="1"/>
    <col min="775" max="1020" width="9.140625" style="113"/>
    <col min="1021" max="1021" width="52.140625" style="113" customWidth="1"/>
    <col min="1022" max="1022" width="8.42578125" style="113" customWidth="1"/>
    <col min="1023" max="1023" width="0" style="113" hidden="1" customWidth="1"/>
    <col min="1024" max="1024" width="9.140625" style="113"/>
    <col min="1025" max="1025" width="29.28515625" style="113" customWidth="1"/>
    <col min="1026" max="1026" width="8.140625" style="113" customWidth="1"/>
    <col min="1027" max="1027" width="14" style="113" customWidth="1"/>
    <col min="1028" max="1028" width="0" style="113" hidden="1" customWidth="1"/>
    <col min="1029" max="1029" width="22.5703125" style="113" customWidth="1"/>
    <col min="1030" max="1030" width="16.140625" style="113" customWidth="1"/>
    <col min="1031" max="1276" width="9.140625" style="113"/>
    <col min="1277" max="1277" width="52.140625" style="113" customWidth="1"/>
    <col min="1278" max="1278" width="8.42578125" style="113" customWidth="1"/>
    <col min="1279" max="1279" width="0" style="113" hidden="1" customWidth="1"/>
    <col min="1280" max="1280" width="9.140625" style="113"/>
    <col min="1281" max="1281" width="29.28515625" style="113" customWidth="1"/>
    <col min="1282" max="1282" width="8.140625" style="113" customWidth="1"/>
    <col min="1283" max="1283" width="14" style="113" customWidth="1"/>
    <col min="1284" max="1284" width="0" style="113" hidden="1" customWidth="1"/>
    <col min="1285" max="1285" width="22.5703125" style="113" customWidth="1"/>
    <col min="1286" max="1286" width="16.140625" style="113" customWidth="1"/>
    <col min="1287" max="1532" width="9.140625" style="113"/>
    <col min="1533" max="1533" width="52.140625" style="113" customWidth="1"/>
    <col min="1534" max="1534" width="8.42578125" style="113" customWidth="1"/>
    <col min="1535" max="1535" width="0" style="113" hidden="1" customWidth="1"/>
    <col min="1536" max="1536" width="9.140625" style="113"/>
    <col min="1537" max="1537" width="29.28515625" style="113" customWidth="1"/>
    <col min="1538" max="1538" width="8.140625" style="113" customWidth="1"/>
    <col min="1539" max="1539" width="14" style="113" customWidth="1"/>
    <col min="1540" max="1540" width="0" style="113" hidden="1" customWidth="1"/>
    <col min="1541" max="1541" width="22.5703125" style="113" customWidth="1"/>
    <col min="1542" max="1542" width="16.140625" style="113" customWidth="1"/>
    <col min="1543" max="1788" width="9.140625" style="113"/>
    <col min="1789" max="1789" width="52.140625" style="113" customWidth="1"/>
    <col min="1790" max="1790" width="8.42578125" style="113" customWidth="1"/>
    <col min="1791" max="1791" width="0" style="113" hidden="1" customWidth="1"/>
    <col min="1792" max="1792" width="9.140625" style="113"/>
    <col min="1793" max="1793" width="29.28515625" style="113" customWidth="1"/>
    <col min="1794" max="1794" width="8.140625" style="113" customWidth="1"/>
    <col min="1795" max="1795" width="14" style="113" customWidth="1"/>
    <col min="1796" max="1796" width="0" style="113" hidden="1" customWidth="1"/>
    <col min="1797" max="1797" width="22.5703125" style="113" customWidth="1"/>
    <col min="1798" max="1798" width="16.140625" style="113" customWidth="1"/>
    <col min="1799" max="2044" width="9.140625" style="113"/>
    <col min="2045" max="2045" width="52.140625" style="113" customWidth="1"/>
    <col min="2046" max="2046" width="8.42578125" style="113" customWidth="1"/>
    <col min="2047" max="2047" width="0" style="113" hidden="1" customWidth="1"/>
    <col min="2048" max="2048" width="9.140625" style="113"/>
    <col min="2049" max="2049" width="29.28515625" style="113" customWidth="1"/>
    <col min="2050" max="2050" width="8.140625" style="113" customWidth="1"/>
    <col min="2051" max="2051" width="14" style="113" customWidth="1"/>
    <col min="2052" max="2052" width="0" style="113" hidden="1" customWidth="1"/>
    <col min="2053" max="2053" width="22.5703125" style="113" customWidth="1"/>
    <col min="2054" max="2054" width="16.140625" style="113" customWidth="1"/>
    <col min="2055" max="2300" width="9.140625" style="113"/>
    <col min="2301" max="2301" width="52.140625" style="113" customWidth="1"/>
    <col min="2302" max="2302" width="8.42578125" style="113" customWidth="1"/>
    <col min="2303" max="2303" width="0" style="113" hidden="1" customWidth="1"/>
    <col min="2304" max="2304" width="9.140625" style="113"/>
    <col min="2305" max="2305" width="29.28515625" style="113" customWidth="1"/>
    <col min="2306" max="2306" width="8.140625" style="113" customWidth="1"/>
    <col min="2307" max="2307" width="14" style="113" customWidth="1"/>
    <col min="2308" max="2308" width="0" style="113" hidden="1" customWidth="1"/>
    <col min="2309" max="2309" width="22.5703125" style="113" customWidth="1"/>
    <col min="2310" max="2310" width="16.140625" style="113" customWidth="1"/>
    <col min="2311" max="2556" width="9.140625" style="113"/>
    <col min="2557" max="2557" width="52.140625" style="113" customWidth="1"/>
    <col min="2558" max="2558" width="8.42578125" style="113" customWidth="1"/>
    <col min="2559" max="2559" width="0" style="113" hidden="1" customWidth="1"/>
    <col min="2560" max="2560" width="9.140625" style="113"/>
    <col min="2561" max="2561" width="29.28515625" style="113" customWidth="1"/>
    <col min="2562" max="2562" width="8.140625" style="113" customWidth="1"/>
    <col min="2563" max="2563" width="14" style="113" customWidth="1"/>
    <col min="2564" max="2564" width="0" style="113" hidden="1" customWidth="1"/>
    <col min="2565" max="2565" width="22.5703125" style="113" customWidth="1"/>
    <col min="2566" max="2566" width="16.140625" style="113" customWidth="1"/>
    <col min="2567" max="2812" width="9.140625" style="113"/>
    <col min="2813" max="2813" width="52.140625" style="113" customWidth="1"/>
    <col min="2814" max="2814" width="8.42578125" style="113" customWidth="1"/>
    <col min="2815" max="2815" width="0" style="113" hidden="1" customWidth="1"/>
    <col min="2816" max="2816" width="9.140625" style="113"/>
    <col min="2817" max="2817" width="29.28515625" style="113" customWidth="1"/>
    <col min="2818" max="2818" width="8.140625" style="113" customWidth="1"/>
    <col min="2819" max="2819" width="14" style="113" customWidth="1"/>
    <col min="2820" max="2820" width="0" style="113" hidden="1" customWidth="1"/>
    <col min="2821" max="2821" width="22.5703125" style="113" customWidth="1"/>
    <col min="2822" max="2822" width="16.140625" style="113" customWidth="1"/>
    <col min="2823" max="3068" width="9.140625" style="113"/>
    <col min="3069" max="3069" width="52.140625" style="113" customWidth="1"/>
    <col min="3070" max="3070" width="8.42578125" style="113" customWidth="1"/>
    <col min="3071" max="3071" width="0" style="113" hidden="1" customWidth="1"/>
    <col min="3072" max="3072" width="9.140625" style="113"/>
    <col min="3073" max="3073" width="29.28515625" style="113" customWidth="1"/>
    <col min="3074" max="3074" width="8.140625" style="113" customWidth="1"/>
    <col min="3075" max="3075" width="14" style="113" customWidth="1"/>
    <col min="3076" max="3076" width="0" style="113" hidden="1" customWidth="1"/>
    <col min="3077" max="3077" width="22.5703125" style="113" customWidth="1"/>
    <col min="3078" max="3078" width="16.140625" style="113" customWidth="1"/>
    <col min="3079" max="3324" width="9.140625" style="113"/>
    <col min="3325" max="3325" width="52.140625" style="113" customWidth="1"/>
    <col min="3326" max="3326" width="8.42578125" style="113" customWidth="1"/>
    <col min="3327" max="3327" width="0" style="113" hidden="1" customWidth="1"/>
    <col min="3328" max="3328" width="9.140625" style="113"/>
    <col min="3329" max="3329" width="29.28515625" style="113" customWidth="1"/>
    <col min="3330" max="3330" width="8.140625" style="113" customWidth="1"/>
    <col min="3331" max="3331" width="14" style="113" customWidth="1"/>
    <col min="3332" max="3332" width="0" style="113" hidden="1" customWidth="1"/>
    <col min="3333" max="3333" width="22.5703125" style="113" customWidth="1"/>
    <col min="3334" max="3334" width="16.140625" style="113" customWidth="1"/>
    <col min="3335" max="3580" width="9.140625" style="113"/>
    <col min="3581" max="3581" width="52.140625" style="113" customWidth="1"/>
    <col min="3582" max="3582" width="8.42578125" style="113" customWidth="1"/>
    <col min="3583" max="3583" width="0" style="113" hidden="1" customWidth="1"/>
    <col min="3584" max="3584" width="9.140625" style="113"/>
    <col min="3585" max="3585" width="29.28515625" style="113" customWidth="1"/>
    <col min="3586" max="3586" width="8.140625" style="113" customWidth="1"/>
    <col min="3587" max="3587" width="14" style="113" customWidth="1"/>
    <col min="3588" max="3588" width="0" style="113" hidden="1" customWidth="1"/>
    <col min="3589" max="3589" width="22.5703125" style="113" customWidth="1"/>
    <col min="3590" max="3590" width="16.140625" style="113" customWidth="1"/>
    <col min="3591" max="3836" width="9.140625" style="113"/>
    <col min="3837" max="3837" width="52.140625" style="113" customWidth="1"/>
    <col min="3838" max="3838" width="8.42578125" style="113" customWidth="1"/>
    <col min="3839" max="3839" width="0" style="113" hidden="1" customWidth="1"/>
    <col min="3840" max="3840" width="9.140625" style="113"/>
    <col min="3841" max="3841" width="29.28515625" style="113" customWidth="1"/>
    <col min="3842" max="3842" width="8.140625" style="113" customWidth="1"/>
    <col min="3843" max="3843" width="14" style="113" customWidth="1"/>
    <col min="3844" max="3844" width="0" style="113" hidden="1" customWidth="1"/>
    <col min="3845" max="3845" width="22.5703125" style="113" customWidth="1"/>
    <col min="3846" max="3846" width="16.140625" style="113" customWidth="1"/>
    <col min="3847" max="4092" width="9.140625" style="113"/>
    <col min="4093" max="4093" width="52.140625" style="113" customWidth="1"/>
    <col min="4094" max="4094" width="8.42578125" style="113" customWidth="1"/>
    <col min="4095" max="4095" width="0" style="113" hidden="1" customWidth="1"/>
    <col min="4096" max="4096" width="9.140625" style="113"/>
    <col min="4097" max="4097" width="29.28515625" style="113" customWidth="1"/>
    <col min="4098" max="4098" width="8.140625" style="113" customWidth="1"/>
    <col min="4099" max="4099" width="14" style="113" customWidth="1"/>
    <col min="4100" max="4100" width="0" style="113" hidden="1" customWidth="1"/>
    <col min="4101" max="4101" width="22.5703125" style="113" customWidth="1"/>
    <col min="4102" max="4102" width="16.140625" style="113" customWidth="1"/>
    <col min="4103" max="4348" width="9.140625" style="113"/>
    <col min="4349" max="4349" width="52.140625" style="113" customWidth="1"/>
    <col min="4350" max="4350" width="8.42578125" style="113" customWidth="1"/>
    <col min="4351" max="4351" width="0" style="113" hidden="1" customWidth="1"/>
    <col min="4352" max="4352" width="9.140625" style="113"/>
    <col min="4353" max="4353" width="29.28515625" style="113" customWidth="1"/>
    <col min="4354" max="4354" width="8.140625" style="113" customWidth="1"/>
    <col min="4355" max="4355" width="14" style="113" customWidth="1"/>
    <col min="4356" max="4356" width="0" style="113" hidden="1" customWidth="1"/>
    <col min="4357" max="4357" width="22.5703125" style="113" customWidth="1"/>
    <col min="4358" max="4358" width="16.140625" style="113" customWidth="1"/>
    <col min="4359" max="4604" width="9.140625" style="113"/>
    <col min="4605" max="4605" width="52.140625" style="113" customWidth="1"/>
    <col min="4606" max="4606" width="8.42578125" style="113" customWidth="1"/>
    <col min="4607" max="4607" width="0" style="113" hidden="1" customWidth="1"/>
    <col min="4608" max="4608" width="9.140625" style="113"/>
    <col min="4609" max="4609" width="29.28515625" style="113" customWidth="1"/>
    <col min="4610" max="4610" width="8.140625" style="113" customWidth="1"/>
    <col min="4611" max="4611" width="14" style="113" customWidth="1"/>
    <col min="4612" max="4612" width="0" style="113" hidden="1" customWidth="1"/>
    <col min="4613" max="4613" width="22.5703125" style="113" customWidth="1"/>
    <col min="4614" max="4614" width="16.140625" style="113" customWidth="1"/>
    <col min="4615" max="4860" width="9.140625" style="113"/>
    <col min="4861" max="4861" width="52.140625" style="113" customWidth="1"/>
    <col min="4862" max="4862" width="8.42578125" style="113" customWidth="1"/>
    <col min="4863" max="4863" width="0" style="113" hidden="1" customWidth="1"/>
    <col min="4864" max="4864" width="9.140625" style="113"/>
    <col min="4865" max="4865" width="29.28515625" style="113" customWidth="1"/>
    <col min="4866" max="4866" width="8.140625" style="113" customWidth="1"/>
    <col min="4867" max="4867" width="14" style="113" customWidth="1"/>
    <col min="4868" max="4868" width="0" style="113" hidden="1" customWidth="1"/>
    <col min="4869" max="4869" width="22.5703125" style="113" customWidth="1"/>
    <col min="4870" max="4870" width="16.140625" style="113" customWidth="1"/>
    <col min="4871" max="5116" width="9.140625" style="113"/>
    <col min="5117" max="5117" width="52.140625" style="113" customWidth="1"/>
    <col min="5118" max="5118" width="8.42578125" style="113" customWidth="1"/>
    <col min="5119" max="5119" width="0" style="113" hidden="1" customWidth="1"/>
    <col min="5120" max="5120" width="9.140625" style="113"/>
    <col min="5121" max="5121" width="29.28515625" style="113" customWidth="1"/>
    <col min="5122" max="5122" width="8.140625" style="113" customWidth="1"/>
    <col min="5123" max="5123" width="14" style="113" customWidth="1"/>
    <col min="5124" max="5124" width="0" style="113" hidden="1" customWidth="1"/>
    <col min="5125" max="5125" width="22.5703125" style="113" customWidth="1"/>
    <col min="5126" max="5126" width="16.140625" style="113" customWidth="1"/>
    <col min="5127" max="5372" width="9.140625" style="113"/>
    <col min="5373" max="5373" width="52.140625" style="113" customWidth="1"/>
    <col min="5374" max="5374" width="8.42578125" style="113" customWidth="1"/>
    <col min="5375" max="5375" width="0" style="113" hidden="1" customWidth="1"/>
    <col min="5376" max="5376" width="9.140625" style="113"/>
    <col min="5377" max="5377" width="29.28515625" style="113" customWidth="1"/>
    <col min="5378" max="5378" width="8.140625" style="113" customWidth="1"/>
    <col min="5379" max="5379" width="14" style="113" customWidth="1"/>
    <col min="5380" max="5380" width="0" style="113" hidden="1" customWidth="1"/>
    <col min="5381" max="5381" width="22.5703125" style="113" customWidth="1"/>
    <col min="5382" max="5382" width="16.140625" style="113" customWidth="1"/>
    <col min="5383" max="5628" width="9.140625" style="113"/>
    <col min="5629" max="5629" width="52.140625" style="113" customWidth="1"/>
    <col min="5630" max="5630" width="8.42578125" style="113" customWidth="1"/>
    <col min="5631" max="5631" width="0" style="113" hidden="1" customWidth="1"/>
    <col min="5632" max="5632" width="9.140625" style="113"/>
    <col min="5633" max="5633" width="29.28515625" style="113" customWidth="1"/>
    <col min="5634" max="5634" width="8.140625" style="113" customWidth="1"/>
    <col min="5635" max="5635" width="14" style="113" customWidth="1"/>
    <col min="5636" max="5636" width="0" style="113" hidden="1" customWidth="1"/>
    <col min="5637" max="5637" width="22.5703125" style="113" customWidth="1"/>
    <col min="5638" max="5638" width="16.140625" style="113" customWidth="1"/>
    <col min="5639" max="5884" width="9.140625" style="113"/>
    <col min="5885" max="5885" width="52.140625" style="113" customWidth="1"/>
    <col min="5886" max="5886" width="8.42578125" style="113" customWidth="1"/>
    <col min="5887" max="5887" width="0" style="113" hidden="1" customWidth="1"/>
    <col min="5888" max="5888" width="9.140625" style="113"/>
    <col min="5889" max="5889" width="29.28515625" style="113" customWidth="1"/>
    <col min="5890" max="5890" width="8.140625" style="113" customWidth="1"/>
    <col min="5891" max="5891" width="14" style="113" customWidth="1"/>
    <col min="5892" max="5892" width="0" style="113" hidden="1" customWidth="1"/>
    <col min="5893" max="5893" width="22.5703125" style="113" customWidth="1"/>
    <col min="5894" max="5894" width="16.140625" style="113" customWidth="1"/>
    <col min="5895" max="6140" width="9.140625" style="113"/>
    <col min="6141" max="6141" width="52.140625" style="113" customWidth="1"/>
    <col min="6142" max="6142" width="8.42578125" style="113" customWidth="1"/>
    <col min="6143" max="6143" width="0" style="113" hidden="1" customWidth="1"/>
    <col min="6144" max="6144" width="9.140625" style="113"/>
    <col min="6145" max="6145" width="29.28515625" style="113" customWidth="1"/>
    <col min="6146" max="6146" width="8.140625" style="113" customWidth="1"/>
    <col min="6147" max="6147" width="14" style="113" customWidth="1"/>
    <col min="6148" max="6148" width="0" style="113" hidden="1" customWidth="1"/>
    <col min="6149" max="6149" width="22.5703125" style="113" customWidth="1"/>
    <col min="6150" max="6150" width="16.140625" style="113" customWidth="1"/>
    <col min="6151" max="6396" width="9.140625" style="113"/>
    <col min="6397" max="6397" width="52.140625" style="113" customWidth="1"/>
    <col min="6398" max="6398" width="8.42578125" style="113" customWidth="1"/>
    <col min="6399" max="6399" width="0" style="113" hidden="1" customWidth="1"/>
    <col min="6400" max="6400" width="9.140625" style="113"/>
    <col min="6401" max="6401" width="29.28515625" style="113" customWidth="1"/>
    <col min="6402" max="6402" width="8.140625" style="113" customWidth="1"/>
    <col min="6403" max="6403" width="14" style="113" customWidth="1"/>
    <col min="6404" max="6404" width="0" style="113" hidden="1" customWidth="1"/>
    <col min="6405" max="6405" width="22.5703125" style="113" customWidth="1"/>
    <col min="6406" max="6406" width="16.140625" style="113" customWidth="1"/>
    <col min="6407" max="6652" width="9.140625" style="113"/>
    <col min="6653" max="6653" width="52.140625" style="113" customWidth="1"/>
    <col min="6654" max="6654" width="8.42578125" style="113" customWidth="1"/>
    <col min="6655" max="6655" width="0" style="113" hidden="1" customWidth="1"/>
    <col min="6656" max="6656" width="9.140625" style="113"/>
    <col min="6657" max="6657" width="29.28515625" style="113" customWidth="1"/>
    <col min="6658" max="6658" width="8.140625" style="113" customWidth="1"/>
    <col min="6659" max="6659" width="14" style="113" customWidth="1"/>
    <col min="6660" max="6660" width="0" style="113" hidden="1" customWidth="1"/>
    <col min="6661" max="6661" width="22.5703125" style="113" customWidth="1"/>
    <col min="6662" max="6662" width="16.140625" style="113" customWidth="1"/>
    <col min="6663" max="6908" width="9.140625" style="113"/>
    <col min="6909" max="6909" width="52.140625" style="113" customWidth="1"/>
    <col min="6910" max="6910" width="8.42578125" style="113" customWidth="1"/>
    <col min="6911" max="6911" width="0" style="113" hidden="1" customWidth="1"/>
    <col min="6912" max="6912" width="9.140625" style="113"/>
    <col min="6913" max="6913" width="29.28515625" style="113" customWidth="1"/>
    <col min="6914" max="6914" width="8.140625" style="113" customWidth="1"/>
    <col min="6915" max="6915" width="14" style="113" customWidth="1"/>
    <col min="6916" max="6916" width="0" style="113" hidden="1" customWidth="1"/>
    <col min="6917" max="6917" width="22.5703125" style="113" customWidth="1"/>
    <col min="6918" max="6918" width="16.140625" style="113" customWidth="1"/>
    <col min="6919" max="7164" width="9.140625" style="113"/>
    <col min="7165" max="7165" width="52.140625" style="113" customWidth="1"/>
    <col min="7166" max="7166" width="8.42578125" style="113" customWidth="1"/>
    <col min="7167" max="7167" width="0" style="113" hidden="1" customWidth="1"/>
    <col min="7168" max="7168" width="9.140625" style="113"/>
    <col min="7169" max="7169" width="29.28515625" style="113" customWidth="1"/>
    <col min="7170" max="7170" width="8.140625" style="113" customWidth="1"/>
    <col min="7171" max="7171" width="14" style="113" customWidth="1"/>
    <col min="7172" max="7172" width="0" style="113" hidden="1" customWidth="1"/>
    <col min="7173" max="7173" width="22.5703125" style="113" customWidth="1"/>
    <col min="7174" max="7174" width="16.140625" style="113" customWidth="1"/>
    <col min="7175" max="7420" width="9.140625" style="113"/>
    <col min="7421" max="7421" width="52.140625" style="113" customWidth="1"/>
    <col min="7422" max="7422" width="8.42578125" style="113" customWidth="1"/>
    <col min="7423" max="7423" width="0" style="113" hidden="1" customWidth="1"/>
    <col min="7424" max="7424" width="9.140625" style="113"/>
    <col min="7425" max="7425" width="29.28515625" style="113" customWidth="1"/>
    <col min="7426" max="7426" width="8.140625" style="113" customWidth="1"/>
    <col min="7427" max="7427" width="14" style="113" customWidth="1"/>
    <col min="7428" max="7428" width="0" style="113" hidden="1" customWidth="1"/>
    <col min="7429" max="7429" width="22.5703125" style="113" customWidth="1"/>
    <col min="7430" max="7430" width="16.140625" style="113" customWidth="1"/>
    <col min="7431" max="7676" width="9.140625" style="113"/>
    <col min="7677" max="7677" width="52.140625" style="113" customWidth="1"/>
    <col min="7678" max="7678" width="8.42578125" style="113" customWidth="1"/>
    <col min="7679" max="7679" width="0" style="113" hidden="1" customWidth="1"/>
    <col min="7680" max="7680" width="9.140625" style="113"/>
    <col min="7681" max="7681" width="29.28515625" style="113" customWidth="1"/>
    <col min="7682" max="7682" width="8.140625" style="113" customWidth="1"/>
    <col min="7683" max="7683" width="14" style="113" customWidth="1"/>
    <col min="7684" max="7684" width="0" style="113" hidden="1" customWidth="1"/>
    <col min="7685" max="7685" width="22.5703125" style="113" customWidth="1"/>
    <col min="7686" max="7686" width="16.140625" style="113" customWidth="1"/>
    <col min="7687" max="7932" width="9.140625" style="113"/>
    <col min="7933" max="7933" width="52.140625" style="113" customWidth="1"/>
    <col min="7934" max="7934" width="8.42578125" style="113" customWidth="1"/>
    <col min="7935" max="7935" width="0" style="113" hidden="1" customWidth="1"/>
    <col min="7936" max="7936" width="9.140625" style="113"/>
    <col min="7937" max="7937" width="29.28515625" style="113" customWidth="1"/>
    <col min="7938" max="7938" width="8.140625" style="113" customWidth="1"/>
    <col min="7939" max="7939" width="14" style="113" customWidth="1"/>
    <col min="7940" max="7940" width="0" style="113" hidden="1" customWidth="1"/>
    <col min="7941" max="7941" width="22.5703125" style="113" customWidth="1"/>
    <col min="7942" max="7942" width="16.140625" style="113" customWidth="1"/>
    <col min="7943" max="8188" width="9.140625" style="113"/>
    <col min="8189" max="8189" width="52.140625" style="113" customWidth="1"/>
    <col min="8190" max="8190" width="8.42578125" style="113" customWidth="1"/>
    <col min="8191" max="8191" width="0" style="113" hidden="1" customWidth="1"/>
    <col min="8192" max="8192" width="9.140625" style="113"/>
    <col min="8193" max="8193" width="29.28515625" style="113" customWidth="1"/>
    <col min="8194" max="8194" width="8.140625" style="113" customWidth="1"/>
    <col min="8195" max="8195" width="14" style="113" customWidth="1"/>
    <col min="8196" max="8196" width="0" style="113" hidden="1" customWidth="1"/>
    <col min="8197" max="8197" width="22.5703125" style="113" customWidth="1"/>
    <col min="8198" max="8198" width="16.140625" style="113" customWidth="1"/>
    <col min="8199" max="8444" width="9.140625" style="113"/>
    <col min="8445" max="8445" width="52.140625" style="113" customWidth="1"/>
    <col min="8446" max="8446" width="8.42578125" style="113" customWidth="1"/>
    <col min="8447" max="8447" width="0" style="113" hidden="1" customWidth="1"/>
    <col min="8448" max="8448" width="9.140625" style="113"/>
    <col min="8449" max="8449" width="29.28515625" style="113" customWidth="1"/>
    <col min="8450" max="8450" width="8.140625" style="113" customWidth="1"/>
    <col min="8451" max="8451" width="14" style="113" customWidth="1"/>
    <col min="8452" max="8452" width="0" style="113" hidden="1" customWidth="1"/>
    <col min="8453" max="8453" width="22.5703125" style="113" customWidth="1"/>
    <col min="8454" max="8454" width="16.140625" style="113" customWidth="1"/>
    <col min="8455" max="8700" width="9.140625" style="113"/>
    <col min="8701" max="8701" width="52.140625" style="113" customWidth="1"/>
    <col min="8702" max="8702" width="8.42578125" style="113" customWidth="1"/>
    <col min="8703" max="8703" width="0" style="113" hidden="1" customWidth="1"/>
    <col min="8704" max="8704" width="9.140625" style="113"/>
    <col min="8705" max="8705" width="29.28515625" style="113" customWidth="1"/>
    <col min="8706" max="8706" width="8.140625" style="113" customWidth="1"/>
    <col min="8707" max="8707" width="14" style="113" customWidth="1"/>
    <col min="8708" max="8708" width="0" style="113" hidden="1" customWidth="1"/>
    <col min="8709" max="8709" width="22.5703125" style="113" customWidth="1"/>
    <col min="8710" max="8710" width="16.140625" style="113" customWidth="1"/>
    <col min="8711" max="8956" width="9.140625" style="113"/>
    <col min="8957" max="8957" width="52.140625" style="113" customWidth="1"/>
    <col min="8958" max="8958" width="8.42578125" style="113" customWidth="1"/>
    <col min="8959" max="8959" width="0" style="113" hidden="1" customWidth="1"/>
    <col min="8960" max="8960" width="9.140625" style="113"/>
    <col min="8961" max="8961" width="29.28515625" style="113" customWidth="1"/>
    <col min="8962" max="8962" width="8.140625" style="113" customWidth="1"/>
    <col min="8963" max="8963" width="14" style="113" customWidth="1"/>
    <col min="8964" max="8964" width="0" style="113" hidden="1" customWidth="1"/>
    <col min="8965" max="8965" width="22.5703125" style="113" customWidth="1"/>
    <col min="8966" max="8966" width="16.140625" style="113" customWidth="1"/>
    <col min="8967" max="9212" width="9.140625" style="113"/>
    <col min="9213" max="9213" width="52.140625" style="113" customWidth="1"/>
    <col min="9214" max="9214" width="8.42578125" style="113" customWidth="1"/>
    <col min="9215" max="9215" width="0" style="113" hidden="1" customWidth="1"/>
    <col min="9216" max="9216" width="9.140625" style="113"/>
    <col min="9217" max="9217" width="29.28515625" style="113" customWidth="1"/>
    <col min="9218" max="9218" width="8.140625" style="113" customWidth="1"/>
    <col min="9219" max="9219" width="14" style="113" customWidth="1"/>
    <col min="9220" max="9220" width="0" style="113" hidden="1" customWidth="1"/>
    <col min="9221" max="9221" width="22.5703125" style="113" customWidth="1"/>
    <col min="9222" max="9222" width="16.140625" style="113" customWidth="1"/>
    <col min="9223" max="9468" width="9.140625" style="113"/>
    <col min="9469" max="9469" width="52.140625" style="113" customWidth="1"/>
    <col min="9470" max="9470" width="8.42578125" style="113" customWidth="1"/>
    <col min="9471" max="9471" width="0" style="113" hidden="1" customWidth="1"/>
    <col min="9472" max="9472" width="9.140625" style="113"/>
    <col min="9473" max="9473" width="29.28515625" style="113" customWidth="1"/>
    <col min="9474" max="9474" width="8.140625" style="113" customWidth="1"/>
    <col min="9475" max="9475" width="14" style="113" customWidth="1"/>
    <col min="9476" max="9476" width="0" style="113" hidden="1" customWidth="1"/>
    <col min="9477" max="9477" width="22.5703125" style="113" customWidth="1"/>
    <col min="9478" max="9478" width="16.140625" style="113" customWidth="1"/>
    <col min="9479" max="9724" width="9.140625" style="113"/>
    <col min="9725" max="9725" width="52.140625" style="113" customWidth="1"/>
    <col min="9726" max="9726" width="8.42578125" style="113" customWidth="1"/>
    <col min="9727" max="9727" width="0" style="113" hidden="1" customWidth="1"/>
    <col min="9728" max="9728" width="9.140625" style="113"/>
    <col min="9729" max="9729" width="29.28515625" style="113" customWidth="1"/>
    <col min="9730" max="9730" width="8.140625" style="113" customWidth="1"/>
    <col min="9731" max="9731" width="14" style="113" customWidth="1"/>
    <col min="9732" max="9732" width="0" style="113" hidden="1" customWidth="1"/>
    <col min="9733" max="9733" width="22.5703125" style="113" customWidth="1"/>
    <col min="9734" max="9734" width="16.140625" style="113" customWidth="1"/>
    <col min="9735" max="9980" width="9.140625" style="113"/>
    <col min="9981" max="9981" width="52.140625" style="113" customWidth="1"/>
    <col min="9982" max="9982" width="8.42578125" style="113" customWidth="1"/>
    <col min="9983" max="9983" width="0" style="113" hidden="1" customWidth="1"/>
    <col min="9984" max="9984" width="9.140625" style="113"/>
    <col min="9985" max="9985" width="29.28515625" style="113" customWidth="1"/>
    <col min="9986" max="9986" width="8.140625" style="113" customWidth="1"/>
    <col min="9987" max="9987" width="14" style="113" customWidth="1"/>
    <col min="9988" max="9988" width="0" style="113" hidden="1" customWidth="1"/>
    <col min="9989" max="9989" width="22.5703125" style="113" customWidth="1"/>
    <col min="9990" max="9990" width="16.140625" style="113" customWidth="1"/>
    <col min="9991" max="10236" width="9.140625" style="113"/>
    <col min="10237" max="10237" width="52.140625" style="113" customWidth="1"/>
    <col min="10238" max="10238" width="8.42578125" style="113" customWidth="1"/>
    <col min="10239" max="10239" width="0" style="113" hidden="1" customWidth="1"/>
    <col min="10240" max="10240" width="9.140625" style="113"/>
    <col min="10241" max="10241" width="29.28515625" style="113" customWidth="1"/>
    <col min="10242" max="10242" width="8.140625" style="113" customWidth="1"/>
    <col min="10243" max="10243" width="14" style="113" customWidth="1"/>
    <col min="10244" max="10244" width="0" style="113" hidden="1" customWidth="1"/>
    <col min="10245" max="10245" width="22.5703125" style="113" customWidth="1"/>
    <col min="10246" max="10246" width="16.140625" style="113" customWidth="1"/>
    <col min="10247" max="10492" width="9.140625" style="113"/>
    <col min="10493" max="10493" width="52.140625" style="113" customWidth="1"/>
    <col min="10494" max="10494" width="8.42578125" style="113" customWidth="1"/>
    <col min="10495" max="10495" width="0" style="113" hidden="1" customWidth="1"/>
    <col min="10496" max="10496" width="9.140625" style="113"/>
    <col min="10497" max="10497" width="29.28515625" style="113" customWidth="1"/>
    <col min="10498" max="10498" width="8.140625" style="113" customWidth="1"/>
    <col min="10499" max="10499" width="14" style="113" customWidth="1"/>
    <col min="10500" max="10500" width="0" style="113" hidden="1" customWidth="1"/>
    <col min="10501" max="10501" width="22.5703125" style="113" customWidth="1"/>
    <col min="10502" max="10502" width="16.140625" style="113" customWidth="1"/>
    <col min="10503" max="10748" width="9.140625" style="113"/>
    <col min="10749" max="10749" width="52.140625" style="113" customWidth="1"/>
    <col min="10750" max="10750" width="8.42578125" style="113" customWidth="1"/>
    <col min="10751" max="10751" width="0" style="113" hidden="1" customWidth="1"/>
    <col min="10752" max="10752" width="9.140625" style="113"/>
    <col min="10753" max="10753" width="29.28515625" style="113" customWidth="1"/>
    <col min="10754" max="10754" width="8.140625" style="113" customWidth="1"/>
    <col min="10755" max="10755" width="14" style="113" customWidth="1"/>
    <col min="10756" max="10756" width="0" style="113" hidden="1" customWidth="1"/>
    <col min="10757" max="10757" width="22.5703125" style="113" customWidth="1"/>
    <col min="10758" max="10758" width="16.140625" style="113" customWidth="1"/>
    <col min="10759" max="11004" width="9.140625" style="113"/>
    <col min="11005" max="11005" width="52.140625" style="113" customWidth="1"/>
    <col min="11006" max="11006" width="8.42578125" style="113" customWidth="1"/>
    <col min="11007" max="11007" width="0" style="113" hidden="1" customWidth="1"/>
    <col min="11008" max="11008" width="9.140625" style="113"/>
    <col min="11009" max="11009" width="29.28515625" style="113" customWidth="1"/>
    <col min="11010" max="11010" width="8.140625" style="113" customWidth="1"/>
    <col min="11011" max="11011" width="14" style="113" customWidth="1"/>
    <col min="11012" max="11012" width="0" style="113" hidden="1" customWidth="1"/>
    <col min="11013" max="11013" width="22.5703125" style="113" customWidth="1"/>
    <col min="11014" max="11014" width="16.140625" style="113" customWidth="1"/>
    <col min="11015" max="11260" width="9.140625" style="113"/>
    <col min="11261" max="11261" width="52.140625" style="113" customWidth="1"/>
    <col min="11262" max="11262" width="8.42578125" style="113" customWidth="1"/>
    <col min="11263" max="11263" width="0" style="113" hidden="1" customWidth="1"/>
    <col min="11264" max="11264" width="9.140625" style="113"/>
    <col min="11265" max="11265" width="29.28515625" style="113" customWidth="1"/>
    <col min="11266" max="11266" width="8.140625" style="113" customWidth="1"/>
    <col min="11267" max="11267" width="14" style="113" customWidth="1"/>
    <col min="11268" max="11268" width="0" style="113" hidden="1" customWidth="1"/>
    <col min="11269" max="11269" width="22.5703125" style="113" customWidth="1"/>
    <col min="11270" max="11270" width="16.140625" style="113" customWidth="1"/>
    <col min="11271" max="11516" width="9.140625" style="113"/>
    <col min="11517" max="11517" width="52.140625" style="113" customWidth="1"/>
    <col min="11518" max="11518" width="8.42578125" style="113" customWidth="1"/>
    <col min="11519" max="11519" width="0" style="113" hidden="1" customWidth="1"/>
    <col min="11520" max="11520" width="9.140625" style="113"/>
    <col min="11521" max="11521" width="29.28515625" style="113" customWidth="1"/>
    <col min="11522" max="11522" width="8.140625" style="113" customWidth="1"/>
    <col min="11523" max="11523" width="14" style="113" customWidth="1"/>
    <col min="11524" max="11524" width="0" style="113" hidden="1" customWidth="1"/>
    <col min="11525" max="11525" width="22.5703125" style="113" customWidth="1"/>
    <col min="11526" max="11526" width="16.140625" style="113" customWidth="1"/>
    <col min="11527" max="11772" width="9.140625" style="113"/>
    <col min="11773" max="11773" width="52.140625" style="113" customWidth="1"/>
    <col min="11774" max="11774" width="8.42578125" style="113" customWidth="1"/>
    <col min="11775" max="11775" width="0" style="113" hidden="1" customWidth="1"/>
    <col min="11776" max="11776" width="9.140625" style="113"/>
    <col min="11777" max="11777" width="29.28515625" style="113" customWidth="1"/>
    <col min="11778" max="11778" width="8.140625" style="113" customWidth="1"/>
    <col min="11779" max="11779" width="14" style="113" customWidth="1"/>
    <col min="11780" max="11780" width="0" style="113" hidden="1" customWidth="1"/>
    <col min="11781" max="11781" width="22.5703125" style="113" customWidth="1"/>
    <col min="11782" max="11782" width="16.140625" style="113" customWidth="1"/>
    <col min="11783" max="12028" width="9.140625" style="113"/>
    <col min="12029" max="12029" width="52.140625" style="113" customWidth="1"/>
    <col min="12030" max="12030" width="8.42578125" style="113" customWidth="1"/>
    <col min="12031" max="12031" width="0" style="113" hidden="1" customWidth="1"/>
    <col min="12032" max="12032" width="9.140625" style="113"/>
    <col min="12033" max="12033" width="29.28515625" style="113" customWidth="1"/>
    <col min="12034" max="12034" width="8.140625" style="113" customWidth="1"/>
    <col min="12035" max="12035" width="14" style="113" customWidth="1"/>
    <col min="12036" max="12036" width="0" style="113" hidden="1" customWidth="1"/>
    <col min="12037" max="12037" width="22.5703125" style="113" customWidth="1"/>
    <col min="12038" max="12038" width="16.140625" style="113" customWidth="1"/>
    <col min="12039" max="12284" width="9.140625" style="113"/>
    <col min="12285" max="12285" width="52.140625" style="113" customWidth="1"/>
    <col min="12286" max="12286" width="8.42578125" style="113" customWidth="1"/>
    <col min="12287" max="12287" width="0" style="113" hidden="1" customWidth="1"/>
    <col min="12288" max="12288" width="9.140625" style="113"/>
    <col min="12289" max="12289" width="29.28515625" style="113" customWidth="1"/>
    <col min="12290" max="12290" width="8.140625" style="113" customWidth="1"/>
    <col min="12291" max="12291" width="14" style="113" customWidth="1"/>
    <col min="12292" max="12292" width="0" style="113" hidden="1" customWidth="1"/>
    <col min="12293" max="12293" width="22.5703125" style="113" customWidth="1"/>
    <col min="12294" max="12294" width="16.140625" style="113" customWidth="1"/>
    <col min="12295" max="12540" width="9.140625" style="113"/>
    <col min="12541" max="12541" width="52.140625" style="113" customWidth="1"/>
    <col min="12542" max="12542" width="8.42578125" style="113" customWidth="1"/>
    <col min="12543" max="12543" width="0" style="113" hidden="1" customWidth="1"/>
    <col min="12544" max="12544" width="9.140625" style="113"/>
    <col min="12545" max="12545" width="29.28515625" style="113" customWidth="1"/>
    <col min="12546" max="12546" width="8.140625" style="113" customWidth="1"/>
    <col min="12547" max="12547" width="14" style="113" customWidth="1"/>
    <col min="12548" max="12548" width="0" style="113" hidden="1" customWidth="1"/>
    <col min="12549" max="12549" width="22.5703125" style="113" customWidth="1"/>
    <col min="12550" max="12550" width="16.140625" style="113" customWidth="1"/>
    <col min="12551" max="12796" width="9.140625" style="113"/>
    <col min="12797" max="12797" width="52.140625" style="113" customWidth="1"/>
    <col min="12798" max="12798" width="8.42578125" style="113" customWidth="1"/>
    <col min="12799" max="12799" width="0" style="113" hidden="1" customWidth="1"/>
    <col min="12800" max="12800" width="9.140625" style="113"/>
    <col min="12801" max="12801" width="29.28515625" style="113" customWidth="1"/>
    <col min="12802" max="12802" width="8.140625" style="113" customWidth="1"/>
    <col min="12803" max="12803" width="14" style="113" customWidth="1"/>
    <col min="12804" max="12804" width="0" style="113" hidden="1" customWidth="1"/>
    <col min="12805" max="12805" width="22.5703125" style="113" customWidth="1"/>
    <col min="12806" max="12806" width="16.140625" style="113" customWidth="1"/>
    <col min="12807" max="13052" width="9.140625" style="113"/>
    <col min="13053" max="13053" width="52.140625" style="113" customWidth="1"/>
    <col min="13054" max="13054" width="8.42578125" style="113" customWidth="1"/>
    <col min="13055" max="13055" width="0" style="113" hidden="1" customWidth="1"/>
    <col min="13056" max="13056" width="9.140625" style="113"/>
    <col min="13057" max="13057" width="29.28515625" style="113" customWidth="1"/>
    <col min="13058" max="13058" width="8.140625" style="113" customWidth="1"/>
    <col min="13059" max="13059" width="14" style="113" customWidth="1"/>
    <col min="13060" max="13060" width="0" style="113" hidden="1" customWidth="1"/>
    <col min="13061" max="13061" width="22.5703125" style="113" customWidth="1"/>
    <col min="13062" max="13062" width="16.140625" style="113" customWidth="1"/>
    <col min="13063" max="13308" width="9.140625" style="113"/>
    <col min="13309" max="13309" width="52.140625" style="113" customWidth="1"/>
    <col min="13310" max="13310" width="8.42578125" style="113" customWidth="1"/>
    <col min="13311" max="13311" width="0" style="113" hidden="1" customWidth="1"/>
    <col min="13312" max="13312" width="9.140625" style="113"/>
    <col min="13313" max="13313" width="29.28515625" style="113" customWidth="1"/>
    <col min="13314" max="13314" width="8.140625" style="113" customWidth="1"/>
    <col min="13315" max="13315" width="14" style="113" customWidth="1"/>
    <col min="13316" max="13316" width="0" style="113" hidden="1" customWidth="1"/>
    <col min="13317" max="13317" width="22.5703125" style="113" customWidth="1"/>
    <col min="13318" max="13318" width="16.140625" style="113" customWidth="1"/>
    <col min="13319" max="13564" width="9.140625" style="113"/>
    <col min="13565" max="13565" width="52.140625" style="113" customWidth="1"/>
    <col min="13566" max="13566" width="8.42578125" style="113" customWidth="1"/>
    <col min="13567" max="13567" width="0" style="113" hidden="1" customWidth="1"/>
    <col min="13568" max="13568" width="9.140625" style="113"/>
    <col min="13569" max="13569" width="29.28515625" style="113" customWidth="1"/>
    <col min="13570" max="13570" width="8.140625" style="113" customWidth="1"/>
    <col min="13571" max="13571" width="14" style="113" customWidth="1"/>
    <col min="13572" max="13572" width="0" style="113" hidden="1" customWidth="1"/>
    <col min="13573" max="13573" width="22.5703125" style="113" customWidth="1"/>
    <col min="13574" max="13574" width="16.140625" style="113" customWidth="1"/>
    <col min="13575" max="13820" width="9.140625" style="113"/>
    <col min="13821" max="13821" width="52.140625" style="113" customWidth="1"/>
    <col min="13822" max="13822" width="8.42578125" style="113" customWidth="1"/>
    <col min="13823" max="13823" width="0" style="113" hidden="1" customWidth="1"/>
    <col min="13824" max="13824" width="9.140625" style="113"/>
    <col min="13825" max="13825" width="29.28515625" style="113" customWidth="1"/>
    <col min="13826" max="13826" width="8.140625" style="113" customWidth="1"/>
    <col min="13827" max="13827" width="14" style="113" customWidth="1"/>
    <col min="13828" max="13828" width="0" style="113" hidden="1" customWidth="1"/>
    <col min="13829" max="13829" width="22.5703125" style="113" customWidth="1"/>
    <col min="13830" max="13830" width="16.140625" style="113" customWidth="1"/>
    <col min="13831" max="14076" width="9.140625" style="113"/>
    <col min="14077" max="14077" width="52.140625" style="113" customWidth="1"/>
    <col min="14078" max="14078" width="8.42578125" style="113" customWidth="1"/>
    <col min="14079" max="14079" width="0" style="113" hidden="1" customWidth="1"/>
    <col min="14080" max="14080" width="9.140625" style="113"/>
    <col min="14081" max="14081" width="29.28515625" style="113" customWidth="1"/>
    <col min="14082" max="14082" width="8.140625" style="113" customWidth="1"/>
    <col min="14083" max="14083" width="14" style="113" customWidth="1"/>
    <col min="14084" max="14084" width="0" style="113" hidden="1" customWidth="1"/>
    <col min="14085" max="14085" width="22.5703125" style="113" customWidth="1"/>
    <col min="14086" max="14086" width="16.140625" style="113" customWidth="1"/>
    <col min="14087" max="14332" width="9.140625" style="113"/>
    <col min="14333" max="14333" width="52.140625" style="113" customWidth="1"/>
    <col min="14334" max="14334" width="8.42578125" style="113" customWidth="1"/>
    <col min="14335" max="14335" width="0" style="113" hidden="1" customWidth="1"/>
    <col min="14336" max="14336" width="9.140625" style="113"/>
    <col min="14337" max="14337" width="29.28515625" style="113" customWidth="1"/>
    <col min="14338" max="14338" width="8.140625" style="113" customWidth="1"/>
    <col min="14339" max="14339" width="14" style="113" customWidth="1"/>
    <col min="14340" max="14340" width="0" style="113" hidden="1" customWidth="1"/>
    <col min="14341" max="14341" width="22.5703125" style="113" customWidth="1"/>
    <col min="14342" max="14342" width="16.140625" style="113" customWidth="1"/>
    <col min="14343" max="14588" width="9.140625" style="113"/>
    <col min="14589" max="14589" width="52.140625" style="113" customWidth="1"/>
    <col min="14590" max="14590" width="8.42578125" style="113" customWidth="1"/>
    <col min="14591" max="14591" width="0" style="113" hidden="1" customWidth="1"/>
    <col min="14592" max="14592" width="9.140625" style="113"/>
    <col min="14593" max="14593" width="29.28515625" style="113" customWidth="1"/>
    <col min="14594" max="14594" width="8.140625" style="113" customWidth="1"/>
    <col min="14595" max="14595" width="14" style="113" customWidth="1"/>
    <col min="14596" max="14596" width="0" style="113" hidden="1" customWidth="1"/>
    <col min="14597" max="14597" width="22.5703125" style="113" customWidth="1"/>
    <col min="14598" max="14598" width="16.140625" style="113" customWidth="1"/>
    <col min="14599" max="14844" width="9.140625" style="113"/>
    <col min="14845" max="14845" width="52.140625" style="113" customWidth="1"/>
    <col min="14846" max="14846" width="8.42578125" style="113" customWidth="1"/>
    <col min="14847" max="14847" width="0" style="113" hidden="1" customWidth="1"/>
    <col min="14848" max="14848" width="9.140625" style="113"/>
    <col min="14849" max="14849" width="29.28515625" style="113" customWidth="1"/>
    <col min="14850" max="14850" width="8.140625" style="113" customWidth="1"/>
    <col min="14851" max="14851" width="14" style="113" customWidth="1"/>
    <col min="14852" max="14852" width="0" style="113" hidden="1" customWidth="1"/>
    <col min="14853" max="14853" width="22.5703125" style="113" customWidth="1"/>
    <col min="14854" max="14854" width="16.140625" style="113" customWidth="1"/>
    <col min="14855" max="15100" width="9.140625" style="113"/>
    <col min="15101" max="15101" width="52.140625" style="113" customWidth="1"/>
    <col min="15102" max="15102" width="8.42578125" style="113" customWidth="1"/>
    <col min="15103" max="15103" width="0" style="113" hidden="1" customWidth="1"/>
    <col min="15104" max="15104" width="9.140625" style="113"/>
    <col min="15105" max="15105" width="29.28515625" style="113" customWidth="1"/>
    <col min="15106" max="15106" width="8.140625" style="113" customWidth="1"/>
    <col min="15107" max="15107" width="14" style="113" customWidth="1"/>
    <col min="15108" max="15108" width="0" style="113" hidden="1" customWidth="1"/>
    <col min="15109" max="15109" width="22.5703125" style="113" customWidth="1"/>
    <col min="15110" max="15110" width="16.140625" style="113" customWidth="1"/>
    <col min="15111" max="15356" width="9.140625" style="113"/>
    <col min="15357" max="15357" width="52.140625" style="113" customWidth="1"/>
    <col min="15358" max="15358" width="8.42578125" style="113" customWidth="1"/>
    <col min="15359" max="15359" width="0" style="113" hidden="1" customWidth="1"/>
    <col min="15360" max="15360" width="9.140625" style="113"/>
    <col min="15361" max="15361" width="29.28515625" style="113" customWidth="1"/>
    <col min="15362" max="15362" width="8.140625" style="113" customWidth="1"/>
    <col min="15363" max="15363" width="14" style="113" customWidth="1"/>
    <col min="15364" max="15364" width="0" style="113" hidden="1" customWidth="1"/>
    <col min="15365" max="15365" width="22.5703125" style="113" customWidth="1"/>
    <col min="15366" max="15366" width="16.140625" style="113" customWidth="1"/>
    <col min="15367" max="15612" width="9.140625" style="113"/>
    <col min="15613" max="15613" width="52.140625" style="113" customWidth="1"/>
    <col min="15614" max="15614" width="8.42578125" style="113" customWidth="1"/>
    <col min="15615" max="15615" width="0" style="113" hidden="1" customWidth="1"/>
    <col min="15616" max="15616" width="9.140625" style="113"/>
    <col min="15617" max="15617" width="29.28515625" style="113" customWidth="1"/>
    <col min="15618" max="15618" width="8.140625" style="113" customWidth="1"/>
    <col min="15619" max="15619" width="14" style="113" customWidth="1"/>
    <col min="15620" max="15620" width="0" style="113" hidden="1" customWidth="1"/>
    <col min="15621" max="15621" width="22.5703125" style="113" customWidth="1"/>
    <col min="15622" max="15622" width="16.140625" style="113" customWidth="1"/>
    <col min="15623" max="15868" width="9.140625" style="113"/>
    <col min="15869" max="15869" width="52.140625" style="113" customWidth="1"/>
    <col min="15870" max="15870" width="8.42578125" style="113" customWidth="1"/>
    <col min="15871" max="15871" width="0" style="113" hidden="1" customWidth="1"/>
    <col min="15872" max="15872" width="9.140625" style="113"/>
    <col min="15873" max="15873" width="29.28515625" style="113" customWidth="1"/>
    <col min="15874" max="15874" width="8.140625" style="113" customWidth="1"/>
    <col min="15875" max="15875" width="14" style="113" customWidth="1"/>
    <col min="15876" max="15876" width="0" style="113" hidden="1" customWidth="1"/>
    <col min="15877" max="15877" width="22.5703125" style="113" customWidth="1"/>
    <col min="15878" max="15878" width="16.140625" style="113" customWidth="1"/>
    <col min="15879" max="16124" width="9.140625" style="113"/>
    <col min="16125" max="16125" width="52.140625" style="113" customWidth="1"/>
    <col min="16126" max="16126" width="8.42578125" style="113" customWidth="1"/>
    <col min="16127" max="16127" width="0" style="113" hidden="1" customWidth="1"/>
    <col min="16128" max="16128" width="9.140625" style="113"/>
    <col min="16129" max="16129" width="29.28515625" style="113" customWidth="1"/>
    <col min="16130" max="16130" width="8.140625" style="113" customWidth="1"/>
    <col min="16131" max="16131" width="14" style="113" customWidth="1"/>
    <col min="16132" max="16132" width="0" style="113" hidden="1" customWidth="1"/>
    <col min="16133" max="16133" width="22.5703125" style="113" customWidth="1"/>
    <col min="16134" max="16134" width="16.140625" style="113" customWidth="1"/>
    <col min="16135" max="16384" width="9.140625" style="113"/>
  </cols>
  <sheetData>
    <row r="5" spans="1:6" ht="58.5" customHeight="1">
      <c r="A5" s="119" t="s">
        <v>296</v>
      </c>
      <c r="B5" s="120" t="s">
        <v>285</v>
      </c>
      <c r="C5" s="120" t="s">
        <v>297</v>
      </c>
      <c r="D5" s="120" t="s">
        <v>285</v>
      </c>
      <c r="E5" s="121" t="s">
        <v>286</v>
      </c>
      <c r="F5" s="120" t="s">
        <v>301</v>
      </c>
    </row>
    <row r="6" spans="1:6" ht="119.25" customHeight="1">
      <c r="A6" s="122" t="s">
        <v>293</v>
      </c>
      <c r="B6" s="123">
        <v>2017</v>
      </c>
      <c r="C6" s="124" t="s">
        <v>300</v>
      </c>
      <c r="D6" s="125" t="s">
        <v>294</v>
      </c>
      <c r="E6" s="126" t="s">
        <v>295</v>
      </c>
      <c r="F6" s="161" t="s">
        <v>450</v>
      </c>
    </row>
    <row r="7" spans="1:6" ht="57.75" customHeight="1">
      <c r="A7" s="124" t="s">
        <v>287</v>
      </c>
      <c r="B7" s="125">
        <v>2014</v>
      </c>
      <c r="C7" s="126" t="s">
        <v>288</v>
      </c>
      <c r="D7" s="127">
        <v>2016</v>
      </c>
      <c r="E7" s="126" t="s">
        <v>289</v>
      </c>
      <c r="F7" s="161" t="s">
        <v>451</v>
      </c>
    </row>
    <row r="8" spans="1:6" ht="45">
      <c r="A8" s="122" t="s">
        <v>290</v>
      </c>
      <c r="B8" s="123">
        <v>2017</v>
      </c>
      <c r="C8" s="126" t="s">
        <v>291</v>
      </c>
      <c r="D8" s="123">
        <v>2022</v>
      </c>
      <c r="E8" s="126" t="s">
        <v>292</v>
      </c>
      <c r="F8" s="161" t="s">
        <v>452</v>
      </c>
    </row>
    <row r="9" spans="1:6" ht="121.5" customHeight="1">
      <c r="B9" s="113"/>
      <c r="D9" s="113"/>
    </row>
  </sheetData>
  <pageMargins left="0.51181102362204722" right="0.31496062992125984"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Z115"/>
  <sheetViews>
    <sheetView zoomScale="60" zoomScaleNormal="60" workbookViewId="0">
      <pane xSplit="3" ySplit="6" topLeftCell="E79" activePane="bottomRight" state="frozen"/>
      <selection pane="topRight" activeCell="D1" sqref="D1"/>
      <selection pane="bottomLeft" activeCell="A7" sqref="A7"/>
      <selection pane="bottomRight" activeCell="A93" sqref="A93:B94"/>
    </sheetView>
  </sheetViews>
  <sheetFormatPr defaultRowHeight="15" outlineLevelCol="1"/>
  <cols>
    <col min="1" max="1" width="7.140625" style="2" customWidth="1"/>
    <col min="2" max="2" width="31.140625" style="2" customWidth="1"/>
    <col min="3" max="3" width="7.85546875" style="2" customWidth="1" outlineLevel="1"/>
    <col min="4" max="4" width="9.7109375" style="2" customWidth="1" outlineLevel="1"/>
    <col min="5" max="5" width="13.5703125" style="2" customWidth="1" outlineLevel="1"/>
    <col min="6" max="6" width="13.85546875" style="2" customWidth="1" outlineLevel="1"/>
    <col min="7" max="7" width="9.5703125" style="2" customWidth="1" outlineLevel="1"/>
    <col min="8" max="8" width="10.140625" style="2" customWidth="1" outlineLevel="1"/>
    <col min="9" max="9" width="10" style="2" customWidth="1" outlineLevel="1"/>
    <col min="10" max="10" width="10.5703125" style="2" customWidth="1" outlineLevel="1"/>
    <col min="11" max="11" width="9.5703125" style="2" customWidth="1" outlineLevel="1"/>
    <col min="12" max="12" width="18" style="2" customWidth="1" outlineLevel="1"/>
    <col min="13" max="13" width="15.42578125" style="2" customWidth="1" outlineLevel="1"/>
    <col min="14" max="14" width="19.7109375" style="2" customWidth="1" outlineLevel="1"/>
    <col min="15" max="15" width="17.85546875" style="2" customWidth="1" outlineLevel="1"/>
    <col min="16" max="16" width="16.5703125" style="2" customWidth="1" outlineLevel="1"/>
    <col min="17" max="17" width="13.7109375" style="2" customWidth="1" outlineLevel="1"/>
    <col min="18" max="18" width="19.140625" style="2" customWidth="1" outlineLevel="1"/>
    <col min="19" max="19" width="15.7109375" style="2" customWidth="1" outlineLevel="1"/>
    <col min="20" max="20" width="20.42578125" style="2" customWidth="1"/>
    <col min="21" max="21" width="75.5703125" style="2" customWidth="1"/>
    <col min="22" max="22" width="16.42578125" style="2" customWidth="1"/>
    <col min="23" max="23" width="12" style="2" customWidth="1"/>
    <col min="24" max="24" width="2.42578125" style="2" customWidth="1"/>
    <col min="25" max="25" width="33.7109375" style="2" customWidth="1"/>
    <col min="26" max="26" width="12.7109375" style="2" bestFit="1" customWidth="1"/>
    <col min="27" max="16384" width="9.140625" style="2"/>
  </cols>
  <sheetData>
    <row r="1" spans="1:26" s="1" customFormat="1">
      <c r="A1" s="549" t="s">
        <v>387</v>
      </c>
      <c r="B1" s="549"/>
      <c r="C1" s="549"/>
      <c r="D1" s="549"/>
      <c r="E1" s="549"/>
      <c r="F1" s="549"/>
      <c r="G1" s="549"/>
      <c r="H1" s="549"/>
      <c r="I1" s="549"/>
      <c r="J1" s="549"/>
      <c r="K1" s="549"/>
      <c r="L1" s="549"/>
      <c r="M1" s="549"/>
      <c r="N1" s="549"/>
      <c r="O1" s="549"/>
      <c r="P1" s="549"/>
      <c r="Q1" s="549"/>
      <c r="R1" s="549"/>
      <c r="S1" s="549"/>
      <c r="T1" s="549"/>
      <c r="U1" s="549"/>
      <c r="V1" s="549"/>
      <c r="W1" s="550"/>
    </row>
    <row r="2" spans="1:26" s="1" customFormat="1" ht="44.25" customHeight="1">
      <c r="A2" s="548" t="s">
        <v>0</v>
      </c>
      <c r="B2" s="548" t="s">
        <v>1</v>
      </c>
      <c r="C2" s="548" t="s">
        <v>2</v>
      </c>
      <c r="D2" s="548" t="s">
        <v>3</v>
      </c>
      <c r="E2" s="548"/>
      <c r="F2" s="548" t="s">
        <v>4</v>
      </c>
      <c r="G2" s="548" t="s">
        <v>437</v>
      </c>
      <c r="H2" s="548"/>
      <c r="I2" s="548" t="s">
        <v>5</v>
      </c>
      <c r="J2" s="551" t="s">
        <v>436</v>
      </c>
      <c r="K2" s="552"/>
      <c r="L2" s="552"/>
      <c r="M2" s="552"/>
      <c r="N2" s="552"/>
      <c r="O2" s="552"/>
      <c r="P2" s="553"/>
      <c r="Q2" s="548" t="s">
        <v>816</v>
      </c>
      <c r="R2" s="548" t="s">
        <v>6</v>
      </c>
      <c r="S2" s="548" t="s">
        <v>7</v>
      </c>
      <c r="T2" s="548" t="s">
        <v>8</v>
      </c>
      <c r="U2" s="548" t="s">
        <v>9</v>
      </c>
      <c r="V2" s="548" t="s">
        <v>10</v>
      </c>
      <c r="W2" s="548" t="s">
        <v>11</v>
      </c>
    </row>
    <row r="3" spans="1:26" s="1" customFormat="1" ht="15" customHeight="1">
      <c r="A3" s="548"/>
      <c r="B3" s="548"/>
      <c r="C3" s="548"/>
      <c r="D3" s="554" t="s">
        <v>12</v>
      </c>
      <c r="E3" s="548" t="s">
        <v>13</v>
      </c>
      <c r="F3" s="548"/>
      <c r="G3" s="548" t="s">
        <v>14</v>
      </c>
      <c r="H3" s="548" t="s">
        <v>15</v>
      </c>
      <c r="I3" s="548"/>
      <c r="J3" s="548" t="s">
        <v>14</v>
      </c>
      <c r="K3" s="548" t="s">
        <v>15</v>
      </c>
      <c r="L3" s="551" t="s">
        <v>16</v>
      </c>
      <c r="M3" s="552"/>
      <c r="N3" s="552"/>
      <c r="O3" s="552"/>
      <c r="P3" s="552"/>
      <c r="Q3" s="548"/>
      <c r="R3" s="548"/>
      <c r="S3" s="548"/>
      <c r="T3" s="548"/>
      <c r="U3" s="548"/>
      <c r="V3" s="548"/>
      <c r="W3" s="548"/>
    </row>
    <row r="4" spans="1:26" ht="81.75" customHeight="1">
      <c r="A4" s="548"/>
      <c r="B4" s="548"/>
      <c r="C4" s="548"/>
      <c r="D4" s="554"/>
      <c r="E4" s="548"/>
      <c r="F4" s="548"/>
      <c r="G4" s="548"/>
      <c r="H4" s="548"/>
      <c r="I4" s="548"/>
      <c r="J4" s="548"/>
      <c r="K4" s="548"/>
      <c r="L4" s="337" t="s">
        <v>17</v>
      </c>
      <c r="M4" s="337" t="s">
        <v>18</v>
      </c>
      <c r="N4" s="425" t="s">
        <v>19</v>
      </c>
      <c r="O4" s="425" t="s">
        <v>20</v>
      </c>
      <c r="P4" s="425" t="s">
        <v>394</v>
      </c>
      <c r="Q4" s="548"/>
      <c r="R4" s="548"/>
      <c r="S4" s="548"/>
      <c r="T4" s="548"/>
      <c r="U4" s="548"/>
      <c r="V4" s="548"/>
      <c r="W4" s="548"/>
    </row>
    <row r="5" spans="1:26">
      <c r="A5" s="256">
        <v>1</v>
      </c>
      <c r="B5" s="256">
        <v>2</v>
      </c>
      <c r="C5" s="256">
        <v>3</v>
      </c>
      <c r="D5" s="256">
        <v>4</v>
      </c>
      <c r="E5" s="256">
        <v>5</v>
      </c>
      <c r="F5" s="256">
        <v>6</v>
      </c>
      <c r="G5" s="256">
        <v>7</v>
      </c>
      <c r="H5" s="256">
        <v>8</v>
      </c>
      <c r="I5" s="256">
        <v>9</v>
      </c>
      <c r="J5" s="256">
        <v>10</v>
      </c>
      <c r="K5" s="256">
        <v>11</v>
      </c>
      <c r="L5" s="256">
        <v>12</v>
      </c>
      <c r="M5" s="256">
        <v>13</v>
      </c>
      <c r="N5" s="256">
        <v>14</v>
      </c>
      <c r="O5" s="256">
        <v>15</v>
      </c>
      <c r="P5" s="256">
        <v>16</v>
      </c>
      <c r="Q5" s="256">
        <v>17</v>
      </c>
      <c r="R5" s="256">
        <v>18</v>
      </c>
      <c r="S5" s="256">
        <v>19</v>
      </c>
      <c r="T5" s="256">
        <v>20</v>
      </c>
      <c r="U5" s="256">
        <v>21</v>
      </c>
      <c r="V5" s="256">
        <v>22</v>
      </c>
      <c r="W5" s="256">
        <v>23</v>
      </c>
    </row>
    <row r="6" spans="1:26" s="5" customFormat="1">
      <c r="A6" s="3">
        <v>1</v>
      </c>
      <c r="B6" s="4" t="s">
        <v>21</v>
      </c>
      <c r="C6" s="4"/>
      <c r="D6" s="4"/>
      <c r="E6" s="4"/>
      <c r="F6" s="4"/>
      <c r="G6" s="4"/>
      <c r="H6" s="4"/>
      <c r="I6" s="4"/>
      <c r="J6" s="4"/>
      <c r="K6" s="4"/>
      <c r="L6" s="4"/>
      <c r="M6" s="4"/>
      <c r="N6" s="4"/>
      <c r="O6" s="4"/>
      <c r="P6" s="4"/>
      <c r="Q6" s="4"/>
      <c r="R6" s="128"/>
      <c r="S6" s="4"/>
      <c r="T6" s="4"/>
      <c r="U6" s="4"/>
      <c r="V6" s="4"/>
      <c r="W6" s="4"/>
    </row>
    <row r="7" spans="1:26" s="10" customFormat="1" ht="28.5">
      <c r="A7" s="6" t="s">
        <v>22</v>
      </c>
      <c r="B7" s="7" t="s">
        <v>23</v>
      </c>
      <c r="C7" s="8"/>
      <c r="D7" s="8"/>
      <c r="E7" s="8"/>
      <c r="F7" s="8"/>
      <c r="G7" s="8"/>
      <c r="H7" s="8"/>
      <c r="I7" s="9"/>
      <c r="J7" s="8"/>
      <c r="K7" s="8"/>
      <c r="L7" s="9"/>
      <c r="M7" s="9"/>
      <c r="N7" s="9"/>
      <c r="O7" s="9"/>
      <c r="P7" s="9"/>
      <c r="Q7" s="8"/>
      <c r="R7" s="9"/>
      <c r="S7" s="8"/>
      <c r="T7" s="8"/>
      <c r="U7" s="8"/>
      <c r="V7" s="8"/>
      <c r="W7" s="8"/>
    </row>
    <row r="8" spans="1:26" s="10" customFormat="1" ht="28.5">
      <c r="A8" s="6" t="s">
        <v>24</v>
      </c>
      <c r="B8" s="7" t="s">
        <v>25</v>
      </c>
      <c r="C8" s="8"/>
      <c r="D8" s="8"/>
      <c r="E8" s="8"/>
      <c r="F8" s="8"/>
      <c r="G8" s="8"/>
      <c r="H8" s="8"/>
      <c r="I8" s="8"/>
      <c r="J8" s="8"/>
      <c r="K8" s="8"/>
      <c r="L8" s="8"/>
      <c r="M8" s="8"/>
      <c r="N8" s="8"/>
      <c r="O8" s="8"/>
      <c r="P8" s="8"/>
      <c r="Q8" s="8"/>
      <c r="R8" s="9"/>
      <c r="S8" s="8"/>
      <c r="T8" s="8"/>
      <c r="U8" s="11"/>
      <c r="V8" s="8"/>
      <c r="W8" s="8"/>
    </row>
    <row r="9" spans="1:26" s="10" customFormat="1" ht="42.75">
      <c r="A9" s="6" t="s">
        <v>26</v>
      </c>
      <c r="B9" s="7" t="s">
        <v>27</v>
      </c>
      <c r="C9" s="8"/>
      <c r="D9" s="8"/>
      <c r="E9" s="8"/>
      <c r="F9" s="8"/>
      <c r="G9" s="8"/>
      <c r="H9" s="8"/>
      <c r="I9" s="8"/>
      <c r="J9" s="8"/>
      <c r="K9" s="8"/>
      <c r="L9" s="8"/>
      <c r="M9" s="8"/>
      <c r="N9" s="8"/>
      <c r="O9" s="8"/>
      <c r="P9" s="8"/>
      <c r="Q9" s="8"/>
      <c r="R9" s="9"/>
      <c r="S9" s="8"/>
      <c r="T9" s="8"/>
      <c r="U9" s="8"/>
      <c r="V9" s="8"/>
      <c r="W9" s="8"/>
    </row>
    <row r="10" spans="1:26" s="10" customFormat="1" ht="42.75">
      <c r="A10" s="6" t="s">
        <v>28</v>
      </c>
      <c r="B10" s="7" t="s">
        <v>29</v>
      </c>
      <c r="C10" s="8"/>
      <c r="D10" s="8"/>
      <c r="E10" s="368">
        <f>E11</f>
        <v>27512.87</v>
      </c>
      <c r="F10" s="214"/>
      <c r="G10" s="214"/>
      <c r="H10" s="214"/>
      <c r="I10" s="368">
        <f>I11</f>
        <v>0</v>
      </c>
      <c r="J10" s="214"/>
      <c r="K10" s="214"/>
      <c r="L10" s="214"/>
      <c r="M10" s="368">
        <f>M11</f>
        <v>15677.05</v>
      </c>
      <c r="N10" s="368">
        <f t="shared" ref="N10" si="0">N11</f>
        <v>9976.0669999999991</v>
      </c>
      <c r="O10" s="368">
        <f t="shared" ref="O10:P10" si="1">O11</f>
        <v>1859.7529999999999</v>
      </c>
      <c r="P10" s="8">
        <f t="shared" si="1"/>
        <v>0</v>
      </c>
      <c r="Q10" s="8"/>
      <c r="R10" s="9"/>
      <c r="S10" s="8"/>
      <c r="T10" s="8"/>
      <c r="U10" s="8"/>
      <c r="V10" s="8"/>
      <c r="W10" s="8"/>
    </row>
    <row r="11" spans="1:26" ht="75">
      <c r="A11" s="256" t="s">
        <v>328</v>
      </c>
      <c r="B11" s="131" t="s">
        <v>329</v>
      </c>
      <c r="C11" s="385" t="s">
        <v>330</v>
      </c>
      <c r="D11" s="385">
        <v>2</v>
      </c>
      <c r="E11" s="252">
        <f>L11+N11+O11+P11+M11</f>
        <v>27512.87</v>
      </c>
      <c r="F11" s="253" t="s">
        <v>30</v>
      </c>
      <c r="G11" s="253">
        <v>2016</v>
      </c>
      <c r="H11" s="253">
        <v>2016</v>
      </c>
      <c r="I11" s="424"/>
      <c r="J11" s="253">
        <v>2022</v>
      </c>
      <c r="K11" s="253">
        <v>2024</v>
      </c>
      <c r="L11" s="283"/>
      <c r="M11" s="426">
        <v>15677.05</v>
      </c>
      <c r="N11" s="129">
        <v>9976.0669999999991</v>
      </c>
      <c r="O11" s="129">
        <v>1859.7529999999999</v>
      </c>
      <c r="P11" s="12"/>
      <c r="Q11" s="14"/>
      <c r="R11" s="387" t="s">
        <v>152</v>
      </c>
      <c r="S11" s="12" t="s">
        <v>331</v>
      </c>
      <c r="T11" s="12" t="s">
        <v>31</v>
      </c>
      <c r="U11" s="130" t="s">
        <v>332</v>
      </c>
      <c r="V11" s="301" t="s">
        <v>793</v>
      </c>
      <c r="W11" s="450"/>
    </row>
    <row r="12" spans="1:26">
      <c r="A12" s="164"/>
      <c r="B12" s="539" t="s">
        <v>32</v>
      </c>
      <c r="C12" s="539"/>
      <c r="D12" s="539"/>
      <c r="E12" s="16">
        <f>E7+E8+E9+E10</f>
        <v>27512.87</v>
      </c>
      <c r="F12" s="15"/>
      <c r="G12" s="15"/>
      <c r="H12" s="15"/>
      <c r="I12" s="27">
        <f>I7+I8+I9+I10</f>
        <v>0</v>
      </c>
      <c r="J12" s="15"/>
      <c r="K12" s="15"/>
      <c r="L12" s="15">
        <f>L7+L8+L9+L10</f>
        <v>0</v>
      </c>
      <c r="M12" s="15">
        <f t="shared" ref="M12:P12" si="2">M7+M8+M9+M10</f>
        <v>15677.05</v>
      </c>
      <c r="N12" s="15">
        <f t="shared" si="2"/>
        <v>9976.0669999999991</v>
      </c>
      <c r="O12" s="15">
        <f t="shared" si="2"/>
        <v>1859.7529999999999</v>
      </c>
      <c r="P12" s="15">
        <f t="shared" si="2"/>
        <v>0</v>
      </c>
      <c r="Q12" s="15"/>
      <c r="R12" s="204"/>
      <c r="S12" s="15"/>
      <c r="T12" s="15"/>
      <c r="U12" s="15"/>
      <c r="V12" s="15"/>
      <c r="W12" s="15"/>
      <c r="Y12" s="10"/>
    </row>
    <row r="13" spans="1:26" s="5" customFormat="1">
      <c r="A13" s="3" t="s">
        <v>33</v>
      </c>
      <c r="B13" s="4" t="s">
        <v>34</v>
      </c>
      <c r="C13" s="4"/>
      <c r="D13" s="4"/>
      <c r="E13" s="4"/>
      <c r="F13" s="4"/>
      <c r="G13" s="4"/>
      <c r="H13" s="4"/>
      <c r="I13" s="4"/>
      <c r="J13" s="4"/>
      <c r="K13" s="4"/>
      <c r="L13" s="4"/>
      <c r="M13" s="4"/>
      <c r="N13" s="4"/>
      <c r="O13" s="4"/>
      <c r="P13" s="4"/>
      <c r="Q13" s="4">
        <f>SUM(L13:O13)</f>
        <v>0</v>
      </c>
      <c r="R13" s="90"/>
      <c r="S13" s="4"/>
      <c r="T13" s="4"/>
      <c r="U13" s="4"/>
      <c r="V13" s="4"/>
      <c r="W13" s="4"/>
      <c r="Y13" s="10"/>
    </row>
    <row r="14" spans="1:26" s="10" customFormat="1">
      <c r="A14" s="6" t="s">
        <v>35</v>
      </c>
      <c r="B14" s="8" t="s">
        <v>23</v>
      </c>
      <c r="C14" s="8"/>
      <c r="D14" s="9">
        <f>SUM(D15:D17)</f>
        <v>3</v>
      </c>
      <c r="E14" s="368">
        <f>SUM(E15:E17)</f>
        <v>55243.88</v>
      </c>
      <c r="F14" s="8"/>
      <c r="G14" s="8"/>
      <c r="H14" s="8"/>
      <c r="I14" s="368">
        <f>SUM(I15:I17)</f>
        <v>0</v>
      </c>
      <c r="J14" s="8"/>
      <c r="K14" s="8"/>
      <c r="L14" s="368">
        <f>SUM(L15:L17)</f>
        <v>6247.4</v>
      </c>
      <c r="M14" s="368">
        <f>SUM(M15:M17)</f>
        <v>6247.4</v>
      </c>
      <c r="N14" s="368">
        <f>SUM(N15:N17)</f>
        <v>12749.08</v>
      </c>
      <c r="O14" s="368">
        <f>SUM(O15:O17)</f>
        <v>0</v>
      </c>
      <c r="P14" s="368">
        <f>SUM(P15:P17)</f>
        <v>30000</v>
      </c>
      <c r="Q14" s="8"/>
      <c r="R14" s="34"/>
      <c r="S14" s="8"/>
      <c r="T14" s="8"/>
      <c r="U14" s="8"/>
      <c r="V14" s="8"/>
      <c r="W14" s="8"/>
    </row>
    <row r="15" spans="1:26" ht="190.5" customHeight="1">
      <c r="A15" s="257" t="s">
        <v>36</v>
      </c>
      <c r="B15" s="187" t="s">
        <v>440</v>
      </c>
      <c r="C15" s="257">
        <v>1</v>
      </c>
      <c r="D15" s="257">
        <v>1</v>
      </c>
      <c r="E15" s="252">
        <f>L15+N15+O15+P15+M15</f>
        <v>12494.8</v>
      </c>
      <c r="F15" s="253" t="s">
        <v>30</v>
      </c>
      <c r="G15" s="245">
        <v>2020</v>
      </c>
      <c r="H15" s="245">
        <v>2020</v>
      </c>
      <c r="I15" s="12"/>
      <c r="J15" s="257">
        <v>2021</v>
      </c>
      <c r="K15" s="253">
        <v>2022</v>
      </c>
      <c r="L15" s="427">
        <v>6247.4</v>
      </c>
      <c r="M15" s="427">
        <v>6247.4</v>
      </c>
      <c r="N15" s="257"/>
      <c r="O15" s="257"/>
      <c r="P15" s="257"/>
      <c r="Q15" s="15"/>
      <c r="R15" s="382" t="s">
        <v>37</v>
      </c>
      <c r="S15" s="331" t="s">
        <v>38</v>
      </c>
      <c r="T15" s="331" t="s">
        <v>276</v>
      </c>
      <c r="U15" s="17" t="s">
        <v>39</v>
      </c>
      <c r="V15" s="330" t="s">
        <v>476</v>
      </c>
      <c r="W15" s="12"/>
      <c r="Z15" s="91"/>
    </row>
    <row r="16" spans="1:26" ht="265.5" customHeight="1">
      <c r="A16" s="331" t="s">
        <v>284</v>
      </c>
      <c r="B16" s="410" t="s">
        <v>40</v>
      </c>
      <c r="C16" s="254">
        <v>1</v>
      </c>
      <c r="D16" s="254">
        <v>1</v>
      </c>
      <c r="E16" s="252">
        <f t="shared" ref="E16:E17" si="3">L16+N16+O16+P16+M16</f>
        <v>12749.08</v>
      </c>
      <c r="F16" s="253" t="s">
        <v>30</v>
      </c>
      <c r="G16" s="245">
        <v>2014</v>
      </c>
      <c r="H16" s="245">
        <v>2014</v>
      </c>
      <c r="I16" s="12"/>
      <c r="J16" s="245">
        <v>2023</v>
      </c>
      <c r="K16" s="245">
        <v>2023</v>
      </c>
      <c r="L16" s="254"/>
      <c r="M16" s="254"/>
      <c r="N16" s="328">
        <v>12749.08</v>
      </c>
      <c r="O16" s="328"/>
      <c r="P16" s="328"/>
      <c r="Q16" s="15"/>
      <c r="R16" s="449" t="s">
        <v>37</v>
      </c>
      <c r="S16" s="448" t="s">
        <v>41</v>
      </c>
      <c r="T16" s="448" t="s">
        <v>277</v>
      </c>
      <c r="U16" s="247" t="s">
        <v>725</v>
      </c>
      <c r="V16" s="448" t="s">
        <v>794</v>
      </c>
      <c r="W16" s="12"/>
    </row>
    <row r="17" spans="1:23" ht="84" customHeight="1">
      <c r="A17" s="203" t="s">
        <v>840</v>
      </c>
      <c r="B17" s="303" t="s">
        <v>435</v>
      </c>
      <c r="C17" s="254">
        <v>1</v>
      </c>
      <c r="D17" s="254">
        <v>1</v>
      </c>
      <c r="E17" s="252">
        <f t="shared" si="3"/>
        <v>30000</v>
      </c>
      <c r="F17" s="253" t="s">
        <v>30</v>
      </c>
      <c r="G17" s="408">
        <v>2018</v>
      </c>
      <c r="H17" s="408">
        <v>2018</v>
      </c>
      <c r="I17" s="245"/>
      <c r="J17" s="302">
        <v>2025</v>
      </c>
      <c r="K17" s="302">
        <v>2025</v>
      </c>
      <c r="L17" s="286"/>
      <c r="M17" s="252"/>
      <c r="N17" s="252"/>
      <c r="O17" s="252"/>
      <c r="P17" s="252">
        <v>30000</v>
      </c>
      <c r="Q17" s="15"/>
      <c r="R17" s="480" t="s">
        <v>37</v>
      </c>
      <c r="S17" s="301" t="s">
        <v>754</v>
      </c>
      <c r="T17" s="301" t="s">
        <v>339</v>
      </c>
      <c r="U17" s="17" t="s">
        <v>791</v>
      </c>
      <c r="V17" s="302" t="s">
        <v>795</v>
      </c>
      <c r="W17" s="12"/>
    </row>
    <row r="18" spans="1:23" s="10" customFormat="1">
      <c r="A18" s="6" t="s">
        <v>42</v>
      </c>
      <c r="B18" s="8" t="s">
        <v>25</v>
      </c>
      <c r="C18" s="368">
        <f>SUM(C19:C24)</f>
        <v>6</v>
      </c>
      <c r="D18" s="368">
        <f>SUM(D19:D24)</f>
        <v>6</v>
      </c>
      <c r="E18" s="368">
        <f>SUM(E19:E24)</f>
        <v>64033.03</v>
      </c>
      <c r="F18" s="368"/>
      <c r="G18" s="368"/>
      <c r="H18" s="368"/>
      <c r="I18" s="368">
        <f>SUM(I19:I24)</f>
        <v>0</v>
      </c>
      <c r="J18" s="368"/>
      <c r="K18" s="368"/>
      <c r="L18" s="368">
        <f>SUM(L19:L24)</f>
        <v>6200</v>
      </c>
      <c r="M18" s="368">
        <f>SUM(M19:M24)</f>
        <v>7189.9</v>
      </c>
      <c r="N18" s="368">
        <f>SUM(N19:N24)</f>
        <v>11417.76</v>
      </c>
      <c r="O18" s="430">
        <f>SUM(O19:O24)</f>
        <v>33336.42</v>
      </c>
      <c r="P18" s="430">
        <f>SUM(P19:P24)</f>
        <v>5888.95</v>
      </c>
      <c r="Q18" s="8"/>
      <c r="R18" s="9"/>
      <c r="S18" s="8"/>
      <c r="T18" s="8"/>
      <c r="U18" s="8"/>
      <c r="V18" s="8"/>
      <c r="W18" s="8"/>
    </row>
    <row r="19" spans="1:23" ht="123" customHeight="1">
      <c r="A19" s="256" t="s">
        <v>43</v>
      </c>
      <c r="B19" s="304" t="s">
        <v>453</v>
      </c>
      <c r="C19" s="254">
        <v>1</v>
      </c>
      <c r="D19" s="254">
        <v>1</v>
      </c>
      <c r="E19" s="286">
        <f>L19+M19+N19+O19+P19</f>
        <v>10134.36</v>
      </c>
      <c r="F19" s="253" t="s">
        <v>30</v>
      </c>
      <c r="G19" s="245">
        <v>2016</v>
      </c>
      <c r="H19" s="245">
        <v>2016</v>
      </c>
      <c r="I19" s="12"/>
      <c r="J19" s="245">
        <v>2022</v>
      </c>
      <c r="K19" s="245">
        <v>2023</v>
      </c>
      <c r="L19" s="299"/>
      <c r="M19" s="299">
        <v>5689.9</v>
      </c>
      <c r="N19" s="381">
        <v>4444.46</v>
      </c>
      <c r="O19" s="12"/>
      <c r="P19" s="12"/>
      <c r="Q19" s="27">
        <v>3.88</v>
      </c>
      <c r="R19" s="387" t="s">
        <v>152</v>
      </c>
      <c r="S19" s="245" t="s">
        <v>44</v>
      </c>
      <c r="T19" s="245" t="s">
        <v>31</v>
      </c>
      <c r="U19" s="17" t="s">
        <v>726</v>
      </c>
      <c r="V19" s="245" t="s">
        <v>488</v>
      </c>
      <c r="W19" s="12"/>
    </row>
    <row r="20" spans="1:23" ht="135.75" customHeight="1">
      <c r="A20" s="256" t="s">
        <v>348</v>
      </c>
      <c r="B20" s="14" t="s">
        <v>487</v>
      </c>
      <c r="C20" s="254">
        <v>1</v>
      </c>
      <c r="D20" s="254">
        <v>1</v>
      </c>
      <c r="E20" s="286">
        <f>L20+M20+N20+O20+P20</f>
        <v>10810.36</v>
      </c>
      <c r="F20" s="245" t="s">
        <v>30</v>
      </c>
      <c r="G20" s="245">
        <v>2018</v>
      </c>
      <c r="H20" s="245">
        <v>2018</v>
      </c>
      <c r="I20" s="254"/>
      <c r="J20" s="245">
        <v>2024</v>
      </c>
      <c r="K20" s="245">
        <v>2024</v>
      </c>
      <c r="M20" s="254"/>
      <c r="N20" s="428"/>
      <c r="O20" s="428">
        <v>10810.36</v>
      </c>
      <c r="P20" s="428"/>
      <c r="Q20" s="15"/>
      <c r="R20" s="382" t="s">
        <v>37</v>
      </c>
      <c r="S20" s="245" t="s">
        <v>53</v>
      </c>
      <c r="T20" s="245" t="s">
        <v>279</v>
      </c>
      <c r="U20" s="17" t="s">
        <v>716</v>
      </c>
      <c r="V20" s="245" t="s">
        <v>478</v>
      </c>
      <c r="W20" s="12"/>
    </row>
    <row r="21" spans="1:23" ht="113.25" customHeight="1">
      <c r="A21" s="257" t="s">
        <v>45</v>
      </c>
      <c r="B21" s="409" t="s">
        <v>54</v>
      </c>
      <c r="C21" s="254">
        <v>1</v>
      </c>
      <c r="D21" s="254">
        <v>1</v>
      </c>
      <c r="E21" s="286">
        <f t="shared" ref="E21:E22" si="4">L21+M21+N21+O21+P21</f>
        <v>6200</v>
      </c>
      <c r="F21" s="245" t="s">
        <v>47</v>
      </c>
      <c r="G21" s="257">
        <v>2020</v>
      </c>
      <c r="H21" s="257">
        <v>2020</v>
      </c>
      <c r="I21" s="254"/>
      <c r="J21" s="245">
        <v>2021</v>
      </c>
      <c r="K21" s="245">
        <v>2021</v>
      </c>
      <c r="L21" s="284">
        <v>6200</v>
      </c>
      <c r="M21" s="284"/>
      <c r="N21" s="284"/>
      <c r="O21" s="284"/>
      <c r="P21" s="284"/>
      <c r="Q21" s="15"/>
      <c r="R21" s="382" t="s">
        <v>856</v>
      </c>
      <c r="S21" s="245" t="s">
        <v>762</v>
      </c>
      <c r="T21" s="245" t="s">
        <v>280</v>
      </c>
      <c r="U21" s="332" t="s">
        <v>761</v>
      </c>
      <c r="V21" s="245" t="s">
        <v>847</v>
      </c>
      <c r="W21" s="12"/>
    </row>
    <row r="22" spans="1:23" ht="114" customHeight="1">
      <c r="A22" s="147" t="s">
        <v>351</v>
      </c>
      <c r="B22" s="188" t="s">
        <v>447</v>
      </c>
      <c r="C22" s="254">
        <v>1</v>
      </c>
      <c r="D22" s="254">
        <v>1</v>
      </c>
      <c r="E22" s="286">
        <f t="shared" si="4"/>
        <v>11777.9</v>
      </c>
      <c r="F22" s="245" t="s">
        <v>30</v>
      </c>
      <c r="G22" s="245">
        <v>2018</v>
      </c>
      <c r="H22" s="245">
        <v>2018</v>
      </c>
      <c r="I22" s="254"/>
      <c r="J22" s="245">
        <v>2025</v>
      </c>
      <c r="K22" s="245">
        <v>2025</v>
      </c>
      <c r="L22" s="306"/>
      <c r="M22" s="284"/>
      <c r="N22" s="306"/>
      <c r="O22" s="306">
        <v>5888.95</v>
      </c>
      <c r="P22" s="306">
        <v>5888.95</v>
      </c>
      <c r="Q22" s="15"/>
      <c r="R22" s="383" t="s">
        <v>37</v>
      </c>
      <c r="S22" s="245" t="s">
        <v>490</v>
      </c>
      <c r="T22" s="245" t="s">
        <v>491</v>
      </c>
      <c r="U22" s="17" t="s">
        <v>442</v>
      </c>
      <c r="V22" s="245" t="s">
        <v>479</v>
      </c>
      <c r="W22" s="12"/>
    </row>
    <row r="23" spans="1:23" ht="123" customHeight="1">
      <c r="A23" s="148" t="s">
        <v>352</v>
      </c>
      <c r="B23" s="188" t="s">
        <v>448</v>
      </c>
      <c r="C23" s="254">
        <v>1</v>
      </c>
      <c r="D23" s="254">
        <v>1</v>
      </c>
      <c r="E23" s="286">
        <f>L23+M23+N23+O23+P23</f>
        <v>16637.11</v>
      </c>
      <c r="F23" s="245" t="s">
        <v>30</v>
      </c>
      <c r="G23" s="245">
        <v>2018</v>
      </c>
      <c r="H23" s="245">
        <v>2018</v>
      </c>
      <c r="I23" s="254"/>
      <c r="J23" s="245">
        <v>2024</v>
      </c>
      <c r="K23" s="245">
        <v>2024</v>
      </c>
      <c r="L23" s="423"/>
      <c r="M23" s="284"/>
      <c r="N23" s="284"/>
      <c r="O23" s="306">
        <v>16637.11</v>
      </c>
      <c r="P23" s="306"/>
      <c r="Q23" s="15"/>
      <c r="R23" s="383" t="s">
        <v>37</v>
      </c>
      <c r="S23" s="245" t="s">
        <v>55</v>
      </c>
      <c r="T23" s="245" t="s">
        <v>492</v>
      </c>
      <c r="U23" s="17" t="s">
        <v>753</v>
      </c>
      <c r="V23" s="245" t="s">
        <v>391</v>
      </c>
      <c r="W23" s="12"/>
    </row>
    <row r="24" spans="1:23" ht="127.5" customHeight="1">
      <c r="A24" s="148" t="s">
        <v>49</v>
      </c>
      <c r="B24" s="189" t="s">
        <v>483</v>
      </c>
      <c r="C24" s="254">
        <v>1</v>
      </c>
      <c r="D24" s="254">
        <v>1</v>
      </c>
      <c r="E24" s="286">
        <f t="shared" ref="E24" si="5">L24+M24+N24+O24+P24</f>
        <v>8473.2999999999993</v>
      </c>
      <c r="F24" s="245" t="s">
        <v>30</v>
      </c>
      <c r="G24" s="245">
        <v>2018</v>
      </c>
      <c r="H24" s="245">
        <v>2018</v>
      </c>
      <c r="I24" s="254"/>
      <c r="J24" s="245">
        <v>2022</v>
      </c>
      <c r="K24" s="245">
        <v>2023</v>
      </c>
      <c r="L24" s="306"/>
      <c r="M24" s="284">
        <v>1500</v>
      </c>
      <c r="N24" s="306">
        <v>6973.3</v>
      </c>
      <c r="O24" s="284"/>
      <c r="P24" s="306"/>
      <c r="Q24" s="15"/>
      <c r="R24" s="383" t="s">
        <v>305</v>
      </c>
      <c r="S24" s="245" t="s">
        <v>493</v>
      </c>
      <c r="T24" s="245" t="s">
        <v>494</v>
      </c>
      <c r="U24" s="17" t="s">
        <v>718</v>
      </c>
      <c r="V24" s="245" t="s">
        <v>799</v>
      </c>
      <c r="W24" s="12"/>
    </row>
    <row r="25" spans="1:23" s="10" customFormat="1" ht="42.75">
      <c r="A25" s="6" t="s">
        <v>57</v>
      </c>
      <c r="B25" s="451" t="s">
        <v>27</v>
      </c>
      <c r="C25" s="8"/>
      <c r="D25" s="8"/>
      <c r="E25" s="8"/>
      <c r="F25" s="8"/>
      <c r="G25" s="8"/>
      <c r="H25" s="8"/>
      <c r="I25" s="8"/>
      <c r="J25" s="8"/>
      <c r="K25" s="8"/>
      <c r="L25" s="8"/>
      <c r="M25" s="8"/>
      <c r="N25" s="8"/>
      <c r="O25" s="8"/>
      <c r="P25" s="8"/>
      <c r="Q25" s="8"/>
      <c r="R25" s="9"/>
      <c r="S25" s="8"/>
      <c r="T25" s="8"/>
      <c r="U25" s="8"/>
      <c r="V25" s="8"/>
      <c r="W25" s="8"/>
    </row>
    <row r="26" spans="1:23">
      <c r="A26" s="256" t="s">
        <v>58</v>
      </c>
      <c r="B26" s="248"/>
      <c r="C26" s="12"/>
      <c r="D26" s="12"/>
      <c r="E26" s="12"/>
      <c r="F26" s="12"/>
      <c r="G26" s="12"/>
      <c r="H26" s="12"/>
      <c r="I26" s="12"/>
      <c r="J26" s="12"/>
      <c r="K26" s="12"/>
      <c r="L26" s="12"/>
      <c r="M26" s="12"/>
      <c r="N26" s="12"/>
      <c r="O26" s="12"/>
      <c r="P26" s="12"/>
      <c r="Q26" s="12"/>
      <c r="R26" s="12"/>
      <c r="S26" s="12"/>
      <c r="T26" s="12"/>
      <c r="U26" s="12"/>
      <c r="V26" s="12"/>
      <c r="W26" s="12"/>
    </row>
    <row r="27" spans="1:23">
      <c r="A27" s="256" t="s">
        <v>59</v>
      </c>
      <c r="B27" s="248"/>
      <c r="C27" s="12"/>
      <c r="D27" s="12"/>
      <c r="E27" s="12"/>
      <c r="F27" s="12"/>
      <c r="G27" s="12"/>
      <c r="H27" s="12"/>
      <c r="I27" s="12"/>
      <c r="J27" s="12"/>
      <c r="K27" s="12"/>
      <c r="L27" s="12"/>
      <c r="M27" s="12"/>
      <c r="N27" s="12"/>
      <c r="O27" s="12"/>
      <c r="P27" s="12"/>
      <c r="Q27" s="12"/>
      <c r="R27" s="12"/>
      <c r="S27" s="12"/>
      <c r="T27" s="12"/>
      <c r="U27" s="12"/>
      <c r="V27" s="12"/>
      <c r="W27" s="12"/>
    </row>
    <row r="28" spans="1:23">
      <c r="A28" s="256" t="s">
        <v>60</v>
      </c>
      <c r="B28" s="248"/>
      <c r="C28" s="12"/>
      <c r="D28" s="12"/>
      <c r="E28" s="12"/>
      <c r="F28" s="12"/>
      <c r="G28" s="12"/>
      <c r="H28" s="12"/>
      <c r="I28" s="12"/>
      <c r="J28" s="12"/>
      <c r="K28" s="12"/>
      <c r="L28" s="12"/>
      <c r="M28" s="12"/>
      <c r="N28" s="12"/>
      <c r="O28" s="12"/>
      <c r="P28" s="12"/>
      <c r="Q28" s="12"/>
      <c r="R28" s="12"/>
      <c r="S28" s="12"/>
      <c r="T28" s="12"/>
      <c r="U28" s="12"/>
      <c r="V28" s="12"/>
      <c r="W28" s="12"/>
    </row>
    <row r="29" spans="1:23" s="10" customFormat="1" ht="42.75">
      <c r="A29" s="6" t="s">
        <v>61</v>
      </c>
      <c r="B29" s="451" t="s">
        <v>29</v>
      </c>
      <c r="C29" s="368">
        <f>C30</f>
        <v>0</v>
      </c>
      <c r="D29" s="368">
        <f>D30</f>
        <v>0</v>
      </c>
      <c r="E29" s="368">
        <f>E30</f>
        <v>0</v>
      </c>
      <c r="F29" s="368"/>
      <c r="G29" s="368"/>
      <c r="H29" s="368"/>
      <c r="I29" s="368"/>
      <c r="J29" s="368"/>
      <c r="K29" s="368"/>
      <c r="L29" s="368">
        <f>L30</f>
        <v>0</v>
      </c>
      <c r="M29" s="368">
        <f>M30</f>
        <v>0</v>
      </c>
      <c r="N29" s="368">
        <f>N30</f>
        <v>0</v>
      </c>
      <c r="O29" s="368">
        <f>O30</f>
        <v>0</v>
      </c>
      <c r="P29" s="368">
        <f>P30</f>
        <v>0</v>
      </c>
      <c r="Q29" s="368"/>
      <c r="R29" s="368"/>
      <c r="S29" s="8"/>
      <c r="T29" s="8"/>
      <c r="U29" s="8"/>
      <c r="V29" s="8"/>
      <c r="W29" s="8"/>
    </row>
    <row r="30" spans="1:23" ht="17.25" customHeight="1">
      <c r="A30" s="256" t="s">
        <v>354</v>
      </c>
      <c r="B30" s="391"/>
      <c r="C30" s="27"/>
      <c r="D30" s="27"/>
      <c r="E30" s="290"/>
      <c r="F30" s="27"/>
      <c r="G30" s="27"/>
      <c r="H30" s="27"/>
      <c r="I30" s="27"/>
      <c r="J30" s="27"/>
      <c r="K30" s="27"/>
      <c r="L30" s="27"/>
      <c r="M30" s="27"/>
      <c r="N30" s="27"/>
      <c r="O30" s="27"/>
      <c r="P30" s="27"/>
      <c r="Q30" s="15"/>
      <c r="R30" s="390"/>
      <c r="S30" s="15"/>
      <c r="T30" s="15"/>
      <c r="U30" s="429"/>
      <c r="V30" s="12"/>
      <c r="W30" s="15"/>
    </row>
    <row r="31" spans="1:23">
      <c r="A31" s="164"/>
      <c r="B31" s="539" t="s">
        <v>62</v>
      </c>
      <c r="C31" s="539"/>
      <c r="D31" s="539"/>
      <c r="E31" s="15">
        <f>E29+E25+E18+E14</f>
        <v>119276.91</v>
      </c>
      <c r="F31" s="27"/>
      <c r="G31" s="27"/>
      <c r="H31" s="27"/>
      <c r="I31" s="27">
        <f>I29+I25+I18+I14</f>
        <v>0</v>
      </c>
      <c r="J31" s="27"/>
      <c r="K31" s="27"/>
      <c r="L31" s="27">
        <f>L29+L25+L18+L14</f>
        <v>12447.4</v>
      </c>
      <c r="M31" s="27">
        <f>M29+M25+M18+M14</f>
        <v>13437.3</v>
      </c>
      <c r="N31" s="27">
        <f>N29+N25+N18+N14</f>
        <v>24166.84</v>
      </c>
      <c r="O31" s="27">
        <f>O29+O25+O18+O14</f>
        <v>33336.42</v>
      </c>
      <c r="P31" s="27">
        <f>P29+P25+P18+P14</f>
        <v>35888.949999999997</v>
      </c>
      <c r="Q31" s="27"/>
      <c r="R31" s="16"/>
      <c r="S31" s="249"/>
      <c r="T31" s="249"/>
      <c r="U31" s="15"/>
      <c r="V31" s="15"/>
      <c r="W31" s="15"/>
    </row>
    <row r="32" spans="1:23">
      <c r="A32" s="164"/>
      <c r="B32" s="539" t="s">
        <v>63</v>
      </c>
      <c r="C32" s="539"/>
      <c r="D32" s="539"/>
      <c r="E32" s="15">
        <f>E31+E12</f>
        <v>146789.78</v>
      </c>
      <c r="F32" s="27"/>
      <c r="G32" s="27"/>
      <c r="H32" s="27"/>
      <c r="I32" s="27">
        <f>I31+I12</f>
        <v>0</v>
      </c>
      <c r="J32" s="27"/>
      <c r="K32" s="27"/>
      <c r="L32" s="27">
        <f>L31+L12</f>
        <v>12447.4</v>
      </c>
      <c r="M32" s="27">
        <f>M31+M12</f>
        <v>29114.35</v>
      </c>
      <c r="N32" s="27">
        <f>N31+N12</f>
        <v>34142.906999999999</v>
      </c>
      <c r="O32" s="27">
        <f>O31+O12</f>
        <v>35196.172999999995</v>
      </c>
      <c r="P32" s="27">
        <f>P31+P12</f>
        <v>35888.949999999997</v>
      </c>
      <c r="Q32" s="27"/>
      <c r="R32" s="16"/>
      <c r="S32" s="15"/>
      <c r="T32" s="15"/>
      <c r="U32" s="15"/>
      <c r="V32" s="15"/>
      <c r="W32" s="15"/>
    </row>
    <row r="33" spans="1:23" s="5" customFormat="1">
      <c r="A33" s="3" t="s">
        <v>64</v>
      </c>
      <c r="B33" s="20" t="s">
        <v>65</v>
      </c>
      <c r="C33" s="20"/>
      <c r="D33" s="20"/>
      <c r="E33" s="20"/>
      <c r="F33" s="20"/>
      <c r="G33" s="20"/>
      <c r="H33" s="20"/>
      <c r="I33" s="20"/>
      <c r="J33" s="20"/>
      <c r="K33" s="20"/>
      <c r="L33" s="20"/>
      <c r="M33" s="20"/>
      <c r="N33" s="20"/>
      <c r="O33" s="20"/>
      <c r="P33" s="20"/>
      <c r="Q33" s="20"/>
      <c r="R33" s="21"/>
      <c r="S33" s="20"/>
      <c r="T33" s="21"/>
      <c r="U33" s="20"/>
      <c r="V33" s="21"/>
      <c r="W33" s="20"/>
    </row>
    <row r="34" spans="1:23" ht="15" customHeight="1">
      <c r="A34" s="256" t="s">
        <v>66</v>
      </c>
      <c r="B34" s="540" t="s">
        <v>67</v>
      </c>
      <c r="C34" s="540"/>
      <c r="D34" s="540"/>
      <c r="E34" s="215">
        <f t="shared" ref="E34:E48" si="6">L34+M34+N34+O34+P34</f>
        <v>0</v>
      </c>
      <c r="F34" s="216"/>
      <c r="G34" s="216"/>
      <c r="H34" s="216"/>
      <c r="I34" s="216"/>
      <c r="J34" s="216"/>
      <c r="K34" s="216"/>
      <c r="L34" s="196"/>
      <c r="M34" s="196"/>
      <c r="N34" s="196"/>
      <c r="O34" s="196"/>
      <c r="P34" s="196"/>
      <c r="Q34" s="196"/>
      <c r="R34" s="534" t="s">
        <v>152</v>
      </c>
      <c r="S34" s="544" t="s">
        <v>41</v>
      </c>
      <c r="T34" s="534" t="s">
        <v>68</v>
      </c>
      <c r="U34" s="248"/>
      <c r="V34" s="544" t="s">
        <v>793</v>
      </c>
      <c r="W34" s="164"/>
    </row>
    <row r="35" spans="1:23">
      <c r="A35" s="256" t="s">
        <v>69</v>
      </c>
      <c r="B35" s="303" t="s">
        <v>70</v>
      </c>
      <c r="C35" s="19">
        <v>0.43</v>
      </c>
      <c r="D35" s="19">
        <v>1</v>
      </c>
      <c r="E35" s="291">
        <f>L35+M35+N35+O35+P35</f>
        <v>202.3</v>
      </c>
      <c r="F35" s="292" t="s">
        <v>30</v>
      </c>
      <c r="G35" s="293">
        <v>2021</v>
      </c>
      <c r="H35" s="293">
        <v>2021</v>
      </c>
      <c r="I35" s="292"/>
      <c r="J35" s="293">
        <v>2022</v>
      </c>
      <c r="K35" s="293">
        <v>2022</v>
      </c>
      <c r="L35" s="369"/>
      <c r="M35" s="369">
        <v>202.3</v>
      </c>
      <c r="N35" s="292"/>
      <c r="O35" s="292"/>
      <c r="P35" s="292"/>
      <c r="Q35" s="196"/>
      <c r="R35" s="534"/>
      <c r="S35" s="544"/>
      <c r="T35" s="534"/>
      <c r="U35" s="22" t="s">
        <v>71</v>
      </c>
      <c r="V35" s="544"/>
      <c r="W35" s="164"/>
    </row>
    <row r="36" spans="1:23">
      <c r="A36" s="256" t="s">
        <v>72</v>
      </c>
      <c r="B36" s="303" t="s">
        <v>73</v>
      </c>
      <c r="C36" s="19">
        <v>0.1</v>
      </c>
      <c r="D36" s="19">
        <v>1</v>
      </c>
      <c r="E36" s="291">
        <f>L36+M36+N36+O36+P36</f>
        <v>160</v>
      </c>
      <c r="F36" s="292" t="s">
        <v>47</v>
      </c>
      <c r="G36" s="293">
        <v>2022</v>
      </c>
      <c r="H36" s="293">
        <v>2022</v>
      </c>
      <c r="I36" s="309">
        <v>40</v>
      </c>
      <c r="J36" s="293">
        <v>2022</v>
      </c>
      <c r="K36" s="293">
        <v>2022</v>
      </c>
      <c r="L36" s="292"/>
      <c r="M36" s="292">
        <v>160</v>
      </c>
      <c r="N36" s="292"/>
      <c r="O36" s="309"/>
      <c r="P36" s="309"/>
      <c r="Q36" s="196"/>
      <c r="R36" s="534"/>
      <c r="S36" s="544"/>
      <c r="T36" s="534"/>
      <c r="U36" s="22" t="s">
        <v>829</v>
      </c>
      <c r="V36" s="544"/>
      <c r="W36" s="164"/>
    </row>
    <row r="37" spans="1:23">
      <c r="A37" s="256" t="s">
        <v>75</v>
      </c>
      <c r="B37" s="540" t="s">
        <v>76</v>
      </c>
      <c r="C37" s="540"/>
      <c r="D37" s="540"/>
      <c r="E37" s="291">
        <f t="shared" si="6"/>
        <v>0</v>
      </c>
      <c r="F37" s="196"/>
      <c r="G37" s="294"/>
      <c r="H37" s="293"/>
      <c r="I37" s="292"/>
      <c r="J37" s="292"/>
      <c r="K37" s="292"/>
      <c r="L37" s="292"/>
      <c r="M37" s="292"/>
      <c r="N37" s="292"/>
      <c r="O37" s="292"/>
      <c r="P37" s="292"/>
      <c r="Q37" s="196"/>
      <c r="R37" s="534"/>
      <c r="S37" s="544"/>
      <c r="T37" s="534"/>
      <c r="U37" s="248"/>
      <c r="V37" s="544"/>
      <c r="W37" s="164"/>
    </row>
    <row r="38" spans="1:23" ht="45" customHeight="1">
      <c r="A38" s="256" t="s">
        <v>77</v>
      </c>
      <c r="B38" s="303" t="s">
        <v>78</v>
      </c>
      <c r="C38" s="19">
        <v>2</v>
      </c>
      <c r="D38" s="19">
        <v>2</v>
      </c>
      <c r="E38" s="291">
        <f t="shared" si="6"/>
        <v>540</v>
      </c>
      <c r="F38" s="292" t="s">
        <v>47</v>
      </c>
      <c r="G38" s="295">
        <v>2021</v>
      </c>
      <c r="H38" s="295">
        <v>2022</v>
      </c>
      <c r="I38" s="292">
        <v>140</v>
      </c>
      <c r="J38" s="293">
        <v>2023</v>
      </c>
      <c r="K38" s="293">
        <v>2023</v>
      </c>
      <c r="L38" s="292">
        <v>100</v>
      </c>
      <c r="M38" s="292">
        <v>40</v>
      </c>
      <c r="N38" s="292">
        <v>400</v>
      </c>
      <c r="O38" s="292"/>
      <c r="P38" s="292"/>
      <c r="Q38" s="196"/>
      <c r="R38" s="534"/>
      <c r="S38" s="544"/>
      <c r="T38" s="534"/>
      <c r="U38" s="23" t="s">
        <v>828</v>
      </c>
      <c r="V38" s="544"/>
      <c r="W38" s="164"/>
    </row>
    <row r="39" spans="1:23" ht="30" customHeight="1">
      <c r="A39" s="256" t="s">
        <v>377</v>
      </c>
      <c r="B39" s="303" t="s">
        <v>73</v>
      </c>
      <c r="C39" s="19">
        <v>0.2</v>
      </c>
      <c r="D39" s="19">
        <v>2</v>
      </c>
      <c r="E39" s="291">
        <f t="shared" si="6"/>
        <v>150</v>
      </c>
      <c r="F39" s="292" t="s">
        <v>47</v>
      </c>
      <c r="G39" s="295">
        <v>2024</v>
      </c>
      <c r="H39" s="295">
        <v>2024</v>
      </c>
      <c r="I39" s="292">
        <v>40</v>
      </c>
      <c r="J39" s="293">
        <v>2025</v>
      </c>
      <c r="K39" s="293">
        <v>2025</v>
      </c>
      <c r="L39" s="292"/>
      <c r="M39" s="292"/>
      <c r="N39" s="292"/>
      <c r="O39" s="292">
        <v>40</v>
      </c>
      <c r="P39" s="292">
        <v>110</v>
      </c>
      <c r="Q39" s="196"/>
      <c r="R39" s="534"/>
      <c r="S39" s="544"/>
      <c r="T39" s="534"/>
      <c r="U39" s="18" t="s">
        <v>813</v>
      </c>
      <c r="V39" s="544"/>
      <c r="W39" s="164"/>
    </row>
    <row r="40" spans="1:23" s="24" customFormat="1">
      <c r="A40" s="256" t="s">
        <v>80</v>
      </c>
      <c r="B40" s="300" t="s">
        <v>81</v>
      </c>
      <c r="C40" s="248"/>
      <c r="D40" s="248"/>
      <c r="E40" s="291">
        <f t="shared" si="6"/>
        <v>0</v>
      </c>
      <c r="F40" s="196"/>
      <c r="G40" s="294"/>
      <c r="H40" s="293"/>
      <c r="I40" s="292"/>
      <c r="J40" s="292"/>
      <c r="K40" s="292"/>
      <c r="L40" s="292"/>
      <c r="M40" s="292"/>
      <c r="N40" s="292"/>
      <c r="O40" s="292"/>
      <c r="P40" s="292"/>
      <c r="Q40" s="196"/>
      <c r="R40" s="534"/>
      <c r="S40" s="544"/>
      <c r="T40" s="534"/>
      <c r="U40" s="248"/>
      <c r="V40" s="544"/>
      <c r="W40" s="164"/>
    </row>
    <row r="41" spans="1:23" ht="45">
      <c r="A41" s="256" t="s">
        <v>82</v>
      </c>
      <c r="B41" s="303" t="s">
        <v>78</v>
      </c>
      <c r="C41" s="19">
        <v>2</v>
      </c>
      <c r="D41" s="19">
        <v>2</v>
      </c>
      <c r="E41" s="291">
        <f t="shared" si="6"/>
        <v>860</v>
      </c>
      <c r="F41" s="292" t="s">
        <v>47</v>
      </c>
      <c r="G41" s="293">
        <v>2022</v>
      </c>
      <c r="H41" s="293">
        <v>2022</v>
      </c>
      <c r="I41" s="292">
        <v>40</v>
      </c>
      <c r="J41" s="293">
        <v>2022</v>
      </c>
      <c r="K41" s="293">
        <v>2023</v>
      </c>
      <c r="L41" s="292"/>
      <c r="M41" s="292">
        <v>460</v>
      </c>
      <c r="N41" s="292">
        <v>400</v>
      </c>
      <c r="O41" s="292"/>
      <c r="P41" s="292"/>
      <c r="Q41" s="196"/>
      <c r="R41" s="534"/>
      <c r="S41" s="544"/>
      <c r="T41" s="534"/>
      <c r="U41" s="23" t="s">
        <v>830</v>
      </c>
      <c r="V41" s="544"/>
      <c r="W41" s="164"/>
    </row>
    <row r="42" spans="1:23">
      <c r="A42" s="256" t="s">
        <v>84</v>
      </c>
      <c r="B42" s="303" t="s">
        <v>85</v>
      </c>
      <c r="C42" s="19">
        <v>15.93</v>
      </c>
      <c r="D42" s="19">
        <v>6</v>
      </c>
      <c r="E42" s="291">
        <f t="shared" si="6"/>
        <v>4010.02</v>
      </c>
      <c r="F42" s="292" t="s">
        <v>47</v>
      </c>
      <c r="G42" s="293">
        <v>2022</v>
      </c>
      <c r="H42" s="293">
        <v>2024</v>
      </c>
      <c r="I42" s="296">
        <v>300</v>
      </c>
      <c r="J42" s="293">
        <v>2022</v>
      </c>
      <c r="K42" s="293">
        <v>2025</v>
      </c>
      <c r="L42" s="292"/>
      <c r="M42" s="292">
        <v>500.02</v>
      </c>
      <c r="N42" s="292">
        <v>380</v>
      </c>
      <c r="O42" s="292">
        <v>500</v>
      </c>
      <c r="P42" s="292">
        <v>2630</v>
      </c>
      <c r="Q42" s="196"/>
      <c r="R42" s="534"/>
      <c r="S42" s="544"/>
      <c r="T42" s="534"/>
      <c r="U42" s="23" t="s">
        <v>831</v>
      </c>
      <c r="V42" s="544"/>
      <c r="W42" s="164"/>
    </row>
    <row r="43" spans="1:23">
      <c r="A43" s="256" t="s">
        <v>402</v>
      </c>
      <c r="B43" s="303" t="s">
        <v>403</v>
      </c>
      <c r="C43" s="19">
        <v>1.7</v>
      </c>
      <c r="D43" s="19">
        <v>7</v>
      </c>
      <c r="E43" s="291">
        <f t="shared" si="6"/>
        <v>340</v>
      </c>
      <c r="F43" s="292" t="s">
        <v>47</v>
      </c>
      <c r="G43" s="293">
        <v>2022</v>
      </c>
      <c r="H43" s="293">
        <v>2022</v>
      </c>
      <c r="I43" s="296">
        <v>40</v>
      </c>
      <c r="J43" s="293">
        <v>2023</v>
      </c>
      <c r="K43" s="293">
        <v>2023</v>
      </c>
      <c r="L43" s="292"/>
      <c r="M43" s="292">
        <v>40</v>
      </c>
      <c r="N43" s="292">
        <v>300</v>
      </c>
      <c r="O43" s="292"/>
      <c r="P43" s="292"/>
      <c r="Q43" s="196"/>
      <c r="R43" s="534"/>
      <c r="S43" s="544"/>
      <c r="T43" s="534"/>
      <c r="U43" s="23" t="s">
        <v>832</v>
      </c>
      <c r="V43" s="544"/>
      <c r="W43" s="164"/>
    </row>
    <row r="44" spans="1:23" s="24" customFormat="1">
      <c r="A44" s="256" t="s">
        <v>87</v>
      </c>
      <c r="B44" s="300" t="s">
        <v>88</v>
      </c>
      <c r="C44" s="248"/>
      <c r="D44" s="248"/>
      <c r="E44" s="291">
        <f t="shared" si="6"/>
        <v>0</v>
      </c>
      <c r="F44" s="196"/>
      <c r="G44" s="294"/>
      <c r="H44" s="293"/>
      <c r="I44" s="292"/>
      <c r="J44" s="292"/>
      <c r="K44" s="292"/>
      <c r="L44" s="292"/>
      <c r="M44" s="292"/>
      <c r="N44" s="292"/>
      <c r="O44" s="292"/>
      <c r="P44" s="292"/>
      <c r="Q44" s="196"/>
      <c r="R44" s="534"/>
      <c r="S44" s="544"/>
      <c r="T44" s="534"/>
      <c r="U44" s="248"/>
      <c r="V44" s="544"/>
      <c r="W44" s="164"/>
    </row>
    <row r="45" spans="1:23" ht="48" customHeight="1">
      <c r="A45" s="256" t="s">
        <v>89</v>
      </c>
      <c r="B45" s="303" t="s">
        <v>78</v>
      </c>
      <c r="C45" s="19">
        <v>3</v>
      </c>
      <c r="D45" s="19">
        <v>3</v>
      </c>
      <c r="E45" s="291">
        <f t="shared" si="6"/>
        <v>1110</v>
      </c>
      <c r="F45" s="292" t="s">
        <v>47</v>
      </c>
      <c r="G45" s="293">
        <v>2021</v>
      </c>
      <c r="H45" s="293">
        <v>2023</v>
      </c>
      <c r="I45" s="292">
        <v>150</v>
      </c>
      <c r="J45" s="295">
        <v>2022</v>
      </c>
      <c r="K45" s="295">
        <v>2024</v>
      </c>
      <c r="L45" s="292">
        <v>100</v>
      </c>
      <c r="M45" s="292">
        <v>500</v>
      </c>
      <c r="N45" s="292">
        <v>50</v>
      </c>
      <c r="O45" s="292">
        <v>460</v>
      </c>
      <c r="P45" s="292"/>
      <c r="Q45" s="196"/>
      <c r="R45" s="534"/>
      <c r="S45" s="544"/>
      <c r="T45" s="534"/>
      <c r="U45" s="23" t="s">
        <v>814</v>
      </c>
      <c r="V45" s="544"/>
      <c r="W45" s="164"/>
    </row>
    <row r="46" spans="1:23" ht="17.25" customHeight="1">
      <c r="A46" s="256" t="s">
        <v>379</v>
      </c>
      <c r="B46" s="303" t="s">
        <v>380</v>
      </c>
      <c r="C46" s="19">
        <v>1.7</v>
      </c>
      <c r="D46" s="19">
        <v>3</v>
      </c>
      <c r="E46" s="291">
        <f t="shared" si="6"/>
        <v>440</v>
      </c>
      <c r="F46" s="292" t="s">
        <v>47</v>
      </c>
      <c r="G46" s="293">
        <v>2022</v>
      </c>
      <c r="H46" s="293">
        <v>2022</v>
      </c>
      <c r="I46" s="292">
        <v>40</v>
      </c>
      <c r="J46" s="295">
        <v>2024</v>
      </c>
      <c r="K46" s="295">
        <v>2024</v>
      </c>
      <c r="L46" s="292"/>
      <c r="M46" s="292"/>
      <c r="N46" s="292">
        <v>40</v>
      </c>
      <c r="O46" s="292">
        <v>400</v>
      </c>
      <c r="P46" s="292"/>
      <c r="Q46" s="196"/>
      <c r="R46" s="534"/>
      <c r="S46" s="544"/>
      <c r="T46" s="534"/>
      <c r="U46" s="23" t="s">
        <v>834</v>
      </c>
      <c r="V46" s="544"/>
      <c r="W46" s="164"/>
    </row>
    <row r="47" spans="1:23" s="24" customFormat="1" ht="21" customHeight="1">
      <c r="A47" s="256" t="s">
        <v>91</v>
      </c>
      <c r="B47" s="300" t="s">
        <v>92</v>
      </c>
      <c r="C47" s="248"/>
      <c r="D47" s="248"/>
      <c r="E47" s="291">
        <f t="shared" si="6"/>
        <v>0</v>
      </c>
      <c r="F47" s="196"/>
      <c r="G47" s="294"/>
      <c r="H47" s="293"/>
      <c r="I47" s="292"/>
      <c r="J47" s="292"/>
      <c r="K47" s="292"/>
      <c r="L47" s="292"/>
      <c r="M47" s="292"/>
      <c r="N47" s="292"/>
      <c r="O47" s="292"/>
      <c r="P47" s="292"/>
      <c r="Q47" s="196"/>
      <c r="R47" s="534"/>
      <c r="S47" s="544"/>
      <c r="T47" s="534"/>
      <c r="U47" s="248"/>
      <c r="V47" s="544"/>
      <c r="W47" s="164"/>
    </row>
    <row r="48" spans="1:23" ht="45">
      <c r="A48" s="256" t="s">
        <v>93</v>
      </c>
      <c r="B48" s="303" t="s">
        <v>78</v>
      </c>
      <c r="C48" s="19">
        <v>2</v>
      </c>
      <c r="D48" s="19">
        <v>2</v>
      </c>
      <c r="E48" s="291">
        <f t="shared" si="6"/>
        <v>650</v>
      </c>
      <c r="F48" s="292" t="s">
        <v>30</v>
      </c>
      <c r="G48" s="293">
        <v>2021</v>
      </c>
      <c r="H48" s="293">
        <v>2025</v>
      </c>
      <c r="I48" s="292"/>
      <c r="J48" s="293">
        <v>2022</v>
      </c>
      <c r="K48" s="293">
        <v>2025</v>
      </c>
      <c r="L48" s="292"/>
      <c r="M48" s="292">
        <v>400</v>
      </c>
      <c r="N48" s="292"/>
      <c r="O48" s="292"/>
      <c r="P48" s="292">
        <v>250</v>
      </c>
      <c r="Q48" s="196"/>
      <c r="R48" s="534"/>
      <c r="S48" s="544"/>
      <c r="T48" s="534"/>
      <c r="U48" s="23" t="s">
        <v>94</v>
      </c>
      <c r="V48" s="544"/>
      <c r="W48" s="164"/>
    </row>
    <row r="49" spans="1:23" s="5" customFormat="1">
      <c r="A49" s="3" t="s">
        <v>95</v>
      </c>
      <c r="B49" s="25" t="s">
        <v>96</v>
      </c>
      <c r="C49" s="25"/>
      <c r="D49" s="25"/>
      <c r="E49" s="26"/>
      <c r="F49" s="26"/>
      <c r="G49" s="26"/>
      <c r="H49" s="26"/>
      <c r="I49" s="26"/>
      <c r="J49" s="26"/>
      <c r="K49" s="26"/>
      <c r="L49" s="26"/>
      <c r="M49" s="26"/>
      <c r="N49" s="26"/>
      <c r="O49" s="26"/>
      <c r="P49" s="26"/>
      <c r="Q49" s="26"/>
      <c r="R49" s="26"/>
      <c r="S49" s="26"/>
      <c r="T49" s="21"/>
      <c r="U49" s="25"/>
      <c r="V49" s="197"/>
      <c r="W49" s="3"/>
    </row>
    <row r="50" spans="1:23" ht="15" customHeight="1">
      <c r="A50" s="256" t="s">
        <v>97</v>
      </c>
      <c r="B50" s="540" t="s">
        <v>67</v>
      </c>
      <c r="C50" s="540"/>
      <c r="D50" s="540"/>
      <c r="E50" s="196"/>
      <c r="F50" s="196"/>
      <c r="G50" s="196"/>
      <c r="H50" s="196"/>
      <c r="I50" s="196"/>
      <c r="J50" s="196"/>
      <c r="K50" s="196"/>
      <c r="L50" s="196"/>
      <c r="M50" s="196"/>
      <c r="N50" s="196"/>
      <c r="O50" s="196"/>
      <c r="P50" s="196"/>
      <c r="Q50" s="196"/>
      <c r="R50" s="536" t="s">
        <v>712</v>
      </c>
      <c r="S50" s="536" t="s">
        <v>41</v>
      </c>
      <c r="T50" s="536" t="s">
        <v>68</v>
      </c>
      <c r="U50" s="248"/>
      <c r="V50" s="545" t="s">
        <v>848</v>
      </c>
      <c r="W50" s="164"/>
    </row>
    <row r="51" spans="1:23" ht="29.25" customHeight="1">
      <c r="A51" s="256" t="s">
        <v>98</v>
      </c>
      <c r="B51" s="37" t="s">
        <v>99</v>
      </c>
      <c r="C51" s="19">
        <v>19</v>
      </c>
      <c r="D51" s="19">
        <f>C51</f>
        <v>19</v>
      </c>
      <c r="E51" s="291">
        <f>L51+M51+N51+O51+P51</f>
        <v>2390</v>
      </c>
      <c r="F51" s="292" t="s">
        <v>47</v>
      </c>
      <c r="G51" s="293">
        <v>2021</v>
      </c>
      <c r="H51" s="293">
        <v>2024</v>
      </c>
      <c r="I51" s="292">
        <v>120</v>
      </c>
      <c r="J51" s="293">
        <v>2021</v>
      </c>
      <c r="K51" s="293">
        <v>2025</v>
      </c>
      <c r="L51" s="292">
        <v>1150</v>
      </c>
      <c r="M51" s="292">
        <v>360</v>
      </c>
      <c r="N51" s="292">
        <v>400</v>
      </c>
      <c r="O51" s="292">
        <v>120</v>
      </c>
      <c r="P51" s="292">
        <v>360</v>
      </c>
      <c r="Q51" s="196"/>
      <c r="R51" s="534"/>
      <c r="S51" s="537"/>
      <c r="T51" s="537" t="s">
        <v>100</v>
      </c>
      <c r="U51" s="23" t="s">
        <v>833</v>
      </c>
      <c r="V51" s="546"/>
      <c r="W51" s="164"/>
    </row>
    <row r="52" spans="1:23" ht="15" customHeight="1">
      <c r="A52" s="256" t="s">
        <v>102</v>
      </c>
      <c r="B52" s="298" t="s">
        <v>103</v>
      </c>
      <c r="C52" s="19">
        <v>9.67</v>
      </c>
      <c r="D52" s="470">
        <v>8</v>
      </c>
      <c r="E52" s="291">
        <f t="shared" ref="E52:E76" si="7">L52+M52+N52+O52+P52</f>
        <v>2505.8199999999997</v>
      </c>
      <c r="F52" s="292" t="s">
        <v>47</v>
      </c>
      <c r="G52" s="293">
        <v>2021</v>
      </c>
      <c r="H52" s="293">
        <v>2024</v>
      </c>
      <c r="I52" s="292">
        <v>160</v>
      </c>
      <c r="J52" s="293">
        <v>2021</v>
      </c>
      <c r="K52" s="293">
        <v>2024</v>
      </c>
      <c r="L52" s="292">
        <v>1905.82</v>
      </c>
      <c r="M52" s="292">
        <v>200</v>
      </c>
      <c r="N52" s="292">
        <v>200</v>
      </c>
      <c r="O52" s="292">
        <v>200</v>
      </c>
      <c r="P52" s="292"/>
      <c r="Q52" s="196"/>
      <c r="R52" s="537"/>
      <c r="S52" s="537"/>
      <c r="T52" s="537" t="s">
        <v>100</v>
      </c>
      <c r="U52" s="22" t="s">
        <v>104</v>
      </c>
      <c r="V52" s="546"/>
      <c r="W52" s="164"/>
    </row>
    <row r="53" spans="1:23" ht="15" customHeight="1">
      <c r="A53" s="256" t="s">
        <v>105</v>
      </c>
      <c r="B53" s="298" t="s">
        <v>106</v>
      </c>
      <c r="C53" s="19">
        <v>2.2999999999999998</v>
      </c>
      <c r="D53" s="470">
        <v>6</v>
      </c>
      <c r="E53" s="291">
        <f t="shared" si="7"/>
        <v>1030.1599999999999</v>
      </c>
      <c r="F53" s="292" t="s">
        <v>47</v>
      </c>
      <c r="G53" s="293">
        <v>2022</v>
      </c>
      <c r="H53" s="293">
        <v>2024</v>
      </c>
      <c r="I53" s="292">
        <v>153</v>
      </c>
      <c r="J53" s="293">
        <v>2022</v>
      </c>
      <c r="K53" s="293">
        <v>2025</v>
      </c>
      <c r="L53" s="292"/>
      <c r="M53" s="292">
        <v>140.16</v>
      </c>
      <c r="N53" s="292">
        <v>200</v>
      </c>
      <c r="O53" s="292">
        <v>590</v>
      </c>
      <c r="P53" s="292">
        <v>100</v>
      </c>
      <c r="Q53" s="196"/>
      <c r="R53" s="537"/>
      <c r="S53" s="537"/>
      <c r="T53" s="537" t="s">
        <v>100</v>
      </c>
      <c r="U53" s="22" t="s">
        <v>107</v>
      </c>
      <c r="V53" s="546"/>
      <c r="W53" s="164"/>
    </row>
    <row r="54" spans="1:23" ht="17.25" customHeight="1">
      <c r="A54" s="256" t="s">
        <v>108</v>
      </c>
      <c r="B54" s="452" t="s">
        <v>109</v>
      </c>
      <c r="C54" s="19">
        <v>0.9</v>
      </c>
      <c r="D54" s="470">
        <v>6</v>
      </c>
      <c r="E54" s="291">
        <f t="shared" si="7"/>
        <v>563</v>
      </c>
      <c r="F54" s="292" t="s">
        <v>47</v>
      </c>
      <c r="G54" s="293">
        <v>2021</v>
      </c>
      <c r="H54" s="293">
        <v>2023</v>
      </c>
      <c r="I54" s="292">
        <v>150</v>
      </c>
      <c r="J54" s="293">
        <v>2022</v>
      </c>
      <c r="K54" s="293">
        <v>2025</v>
      </c>
      <c r="L54" s="292">
        <v>70</v>
      </c>
      <c r="M54" s="292">
        <v>173</v>
      </c>
      <c r="N54" s="292">
        <v>80</v>
      </c>
      <c r="O54" s="292">
        <v>120</v>
      </c>
      <c r="P54" s="292">
        <v>120</v>
      </c>
      <c r="Q54" s="196"/>
      <c r="R54" s="534"/>
      <c r="S54" s="537"/>
      <c r="T54" s="537" t="s">
        <v>100</v>
      </c>
      <c r="U54" s="18" t="s">
        <v>822</v>
      </c>
      <c r="V54" s="546"/>
      <c r="W54" s="164"/>
    </row>
    <row r="55" spans="1:23" ht="15" customHeight="1">
      <c r="A55" s="256" t="s">
        <v>111</v>
      </c>
      <c r="B55" s="540" t="s">
        <v>92</v>
      </c>
      <c r="C55" s="540"/>
      <c r="D55" s="540"/>
      <c r="E55" s="291">
        <f t="shared" si="7"/>
        <v>0</v>
      </c>
      <c r="F55" s="196"/>
      <c r="G55" s="294"/>
      <c r="H55" s="294"/>
      <c r="I55" s="196"/>
      <c r="J55" s="294"/>
      <c r="K55" s="294"/>
      <c r="L55" s="196"/>
      <c r="M55" s="196"/>
      <c r="N55" s="196"/>
      <c r="O55" s="196"/>
      <c r="P55" s="196"/>
      <c r="Q55" s="196"/>
      <c r="R55" s="537"/>
      <c r="S55" s="537"/>
      <c r="T55" s="537" t="s">
        <v>100</v>
      </c>
      <c r="U55" s="248"/>
      <c r="V55" s="546"/>
      <c r="W55" s="164"/>
    </row>
    <row r="56" spans="1:23" ht="33.75" customHeight="1">
      <c r="A56" s="256" t="s">
        <v>112</v>
      </c>
      <c r="B56" s="371" t="s">
        <v>113</v>
      </c>
      <c r="C56" s="19">
        <v>21</v>
      </c>
      <c r="D56" s="19">
        <f>C56</f>
        <v>21</v>
      </c>
      <c r="E56" s="291">
        <f t="shared" si="7"/>
        <v>1630</v>
      </c>
      <c r="F56" s="292" t="s">
        <v>30</v>
      </c>
      <c r="G56" s="293">
        <v>2021</v>
      </c>
      <c r="H56" s="293">
        <v>2021</v>
      </c>
      <c r="I56" s="292"/>
      <c r="J56" s="293">
        <v>2021</v>
      </c>
      <c r="K56" s="293">
        <v>2025</v>
      </c>
      <c r="L56" s="292">
        <v>850</v>
      </c>
      <c r="M56" s="292">
        <v>360</v>
      </c>
      <c r="N56" s="292"/>
      <c r="O56" s="292">
        <v>100</v>
      </c>
      <c r="P56" s="292">
        <v>320</v>
      </c>
      <c r="Q56" s="196"/>
      <c r="R56" s="534"/>
      <c r="S56" s="537"/>
      <c r="T56" s="537" t="s">
        <v>100</v>
      </c>
      <c r="U56" s="23" t="s">
        <v>817</v>
      </c>
      <c r="V56" s="546"/>
      <c r="W56" s="164"/>
    </row>
    <row r="57" spans="1:23" ht="15" customHeight="1">
      <c r="A57" s="256" t="s">
        <v>115</v>
      </c>
      <c r="B57" s="298" t="s">
        <v>103</v>
      </c>
      <c r="C57" s="19">
        <v>14.3</v>
      </c>
      <c r="D57" s="470">
        <v>23</v>
      </c>
      <c r="E57" s="291">
        <f t="shared" si="7"/>
        <v>7316.24</v>
      </c>
      <c r="F57" s="292" t="s">
        <v>47</v>
      </c>
      <c r="G57" s="293">
        <v>2021</v>
      </c>
      <c r="H57" s="293">
        <v>2024</v>
      </c>
      <c r="I57" s="292">
        <v>120</v>
      </c>
      <c r="J57" s="293">
        <v>2021</v>
      </c>
      <c r="K57" s="293">
        <v>2025</v>
      </c>
      <c r="L57" s="292">
        <v>5086.24</v>
      </c>
      <c r="M57" s="292">
        <v>380</v>
      </c>
      <c r="N57" s="292">
        <v>200</v>
      </c>
      <c r="O57" s="292">
        <v>650</v>
      </c>
      <c r="P57" s="292">
        <v>1000</v>
      </c>
      <c r="Q57" s="196"/>
      <c r="R57" s="537"/>
      <c r="S57" s="537"/>
      <c r="T57" s="537" t="s">
        <v>100</v>
      </c>
      <c r="U57" s="22" t="s">
        <v>104</v>
      </c>
      <c r="V57" s="546"/>
      <c r="W57" s="164"/>
    </row>
    <row r="58" spans="1:23">
      <c r="A58" s="256" t="s">
        <v>116</v>
      </c>
      <c r="B58" s="298" t="s">
        <v>117</v>
      </c>
      <c r="C58" s="19">
        <v>3.7</v>
      </c>
      <c r="D58" s="470">
        <v>4</v>
      </c>
      <c r="E58" s="291">
        <f t="shared" si="7"/>
        <v>870.01</v>
      </c>
      <c r="F58" s="292" t="s">
        <v>30</v>
      </c>
      <c r="G58" s="293">
        <v>2022</v>
      </c>
      <c r="H58" s="293">
        <v>2024</v>
      </c>
      <c r="I58" s="292">
        <v>170</v>
      </c>
      <c r="J58" s="293">
        <v>2022</v>
      </c>
      <c r="K58" s="293">
        <v>2025</v>
      </c>
      <c r="L58" s="292"/>
      <c r="M58" s="292">
        <v>90.01</v>
      </c>
      <c r="N58" s="292">
        <v>400</v>
      </c>
      <c r="O58" s="292">
        <v>80</v>
      </c>
      <c r="P58" s="292">
        <v>300</v>
      </c>
      <c r="Q58" s="196"/>
      <c r="R58" s="537"/>
      <c r="S58" s="537"/>
      <c r="T58" s="537" t="s">
        <v>100</v>
      </c>
      <c r="U58" s="23" t="s">
        <v>841</v>
      </c>
      <c r="V58" s="546"/>
      <c r="W58" s="164"/>
    </row>
    <row r="59" spans="1:23" ht="15" customHeight="1">
      <c r="A59" s="256" t="s">
        <v>118</v>
      </c>
      <c r="B59" s="298" t="s">
        <v>119</v>
      </c>
      <c r="C59" s="19">
        <v>1.5</v>
      </c>
      <c r="D59" s="470">
        <v>1</v>
      </c>
      <c r="E59" s="291">
        <f t="shared" si="7"/>
        <v>340</v>
      </c>
      <c r="F59" s="292" t="s">
        <v>30</v>
      </c>
      <c r="G59" s="293">
        <v>2024</v>
      </c>
      <c r="H59" s="293">
        <v>2024</v>
      </c>
      <c r="I59" s="292">
        <v>40</v>
      </c>
      <c r="J59" s="293">
        <v>2025</v>
      </c>
      <c r="K59" s="293">
        <v>2025</v>
      </c>
      <c r="L59" s="292"/>
      <c r="M59" s="292"/>
      <c r="N59" s="292"/>
      <c r="O59" s="292">
        <v>40</v>
      </c>
      <c r="P59" s="292">
        <v>300</v>
      </c>
      <c r="Q59" s="196"/>
      <c r="R59" s="537"/>
      <c r="S59" s="537"/>
      <c r="T59" s="537" t="s">
        <v>100</v>
      </c>
      <c r="U59" s="23" t="s">
        <v>815</v>
      </c>
      <c r="V59" s="546"/>
      <c r="W59" s="164"/>
    </row>
    <row r="60" spans="1:23" ht="15" customHeight="1">
      <c r="A60" s="256" t="s">
        <v>121</v>
      </c>
      <c r="B60" s="540" t="s">
        <v>76</v>
      </c>
      <c r="C60" s="540"/>
      <c r="D60" s="540"/>
      <c r="E60" s="291">
        <f t="shared" si="7"/>
        <v>0</v>
      </c>
      <c r="F60" s="196"/>
      <c r="G60" s="294"/>
      <c r="H60" s="294"/>
      <c r="I60" s="196"/>
      <c r="J60" s="294"/>
      <c r="K60" s="294"/>
      <c r="L60" s="196"/>
      <c r="M60" s="196"/>
      <c r="N60" s="196"/>
      <c r="O60" s="196"/>
      <c r="P60" s="196"/>
      <c r="Q60" s="196"/>
      <c r="R60" s="537"/>
      <c r="S60" s="537"/>
      <c r="T60" s="537" t="s">
        <v>100</v>
      </c>
      <c r="U60" s="248"/>
      <c r="V60" s="546"/>
      <c r="W60" s="164"/>
    </row>
    <row r="61" spans="1:23" ht="30" customHeight="1">
      <c r="A61" s="256" t="s">
        <v>122</v>
      </c>
      <c r="B61" s="37" t="s">
        <v>113</v>
      </c>
      <c r="C61" s="19">
        <v>45</v>
      </c>
      <c r="D61" s="19">
        <f>C61</f>
        <v>45</v>
      </c>
      <c r="E61" s="291">
        <f t="shared" si="7"/>
        <v>3500</v>
      </c>
      <c r="F61" s="292" t="s">
        <v>30</v>
      </c>
      <c r="G61" s="293">
        <v>2021</v>
      </c>
      <c r="H61" s="293">
        <v>2024</v>
      </c>
      <c r="I61" s="292">
        <v>90</v>
      </c>
      <c r="J61" s="293">
        <v>2021</v>
      </c>
      <c r="K61" s="293">
        <v>2025</v>
      </c>
      <c r="L61" s="292">
        <v>1900</v>
      </c>
      <c r="M61" s="292">
        <v>460</v>
      </c>
      <c r="N61" s="292">
        <v>400</v>
      </c>
      <c r="O61" s="292">
        <v>420</v>
      </c>
      <c r="P61" s="292">
        <v>320</v>
      </c>
      <c r="Q61" s="196"/>
      <c r="R61" s="534"/>
      <c r="S61" s="537"/>
      <c r="T61" s="537" t="s">
        <v>100</v>
      </c>
      <c r="U61" s="23" t="s">
        <v>817</v>
      </c>
      <c r="V61" s="546"/>
      <c r="W61" s="164"/>
    </row>
    <row r="62" spans="1:23">
      <c r="A62" s="256" t="s">
        <v>123</v>
      </c>
      <c r="B62" s="298" t="s">
        <v>124</v>
      </c>
      <c r="C62" s="19">
        <v>3.4</v>
      </c>
      <c r="D62" s="470">
        <v>3</v>
      </c>
      <c r="E62" s="291">
        <f t="shared" si="7"/>
        <v>794.90899000000002</v>
      </c>
      <c r="F62" s="292" t="s">
        <v>47</v>
      </c>
      <c r="G62" s="293">
        <v>2021</v>
      </c>
      <c r="H62" s="293">
        <v>2022</v>
      </c>
      <c r="I62" s="292">
        <v>120</v>
      </c>
      <c r="J62" s="293">
        <v>2022</v>
      </c>
      <c r="K62" s="293">
        <v>2025</v>
      </c>
      <c r="L62" s="292">
        <v>77.758989999999997</v>
      </c>
      <c r="M62" s="292">
        <v>120</v>
      </c>
      <c r="N62" s="292">
        <v>350</v>
      </c>
      <c r="O62" s="292">
        <v>147.15</v>
      </c>
      <c r="P62" s="292">
        <v>100</v>
      </c>
      <c r="Q62" s="196"/>
      <c r="R62" s="537"/>
      <c r="S62" s="537"/>
      <c r="T62" s="537" t="s">
        <v>100</v>
      </c>
      <c r="U62" s="23" t="s">
        <v>821</v>
      </c>
      <c r="V62" s="546"/>
      <c r="W62" s="164"/>
    </row>
    <row r="63" spans="1:23" ht="15" customHeight="1">
      <c r="A63" s="256" t="s">
        <v>125</v>
      </c>
      <c r="B63" s="298" t="s">
        <v>103</v>
      </c>
      <c r="C63" s="19">
        <v>13.8</v>
      </c>
      <c r="D63" s="470">
        <v>16</v>
      </c>
      <c r="E63" s="291">
        <f t="shared" si="7"/>
        <v>3929.75</v>
      </c>
      <c r="F63" s="292" t="s">
        <v>30</v>
      </c>
      <c r="G63" s="293">
        <v>2021</v>
      </c>
      <c r="H63" s="293">
        <v>2024</v>
      </c>
      <c r="I63" s="292">
        <v>120</v>
      </c>
      <c r="J63" s="293">
        <v>2021</v>
      </c>
      <c r="K63" s="293">
        <v>2025</v>
      </c>
      <c r="L63" s="292">
        <v>1589.04</v>
      </c>
      <c r="M63" s="292">
        <v>430.71</v>
      </c>
      <c r="N63" s="292">
        <v>430</v>
      </c>
      <c r="O63" s="292">
        <v>480</v>
      </c>
      <c r="P63" s="292">
        <v>1000</v>
      </c>
      <c r="Q63" s="196"/>
      <c r="R63" s="534"/>
      <c r="S63" s="537"/>
      <c r="T63" s="537" t="s">
        <v>100</v>
      </c>
      <c r="U63" s="22" t="s">
        <v>104</v>
      </c>
      <c r="V63" s="546"/>
      <c r="W63" s="164"/>
    </row>
    <row r="64" spans="1:23" ht="15" customHeight="1">
      <c r="A64" s="256" t="s">
        <v>126</v>
      </c>
      <c r="B64" s="298" t="s">
        <v>119</v>
      </c>
      <c r="C64" s="19">
        <v>8.1999999999999993</v>
      </c>
      <c r="D64" s="470">
        <v>8</v>
      </c>
      <c r="E64" s="291">
        <f t="shared" si="7"/>
        <v>1991.8000000000002</v>
      </c>
      <c r="F64" s="292" t="s">
        <v>47</v>
      </c>
      <c r="G64" s="293">
        <v>2021</v>
      </c>
      <c r="H64" s="293">
        <v>2024</v>
      </c>
      <c r="I64" s="292">
        <v>200</v>
      </c>
      <c r="J64" s="293">
        <v>2022</v>
      </c>
      <c r="K64" s="293">
        <v>2025</v>
      </c>
      <c r="L64" s="292">
        <v>100</v>
      </c>
      <c r="M64" s="292">
        <v>412.7</v>
      </c>
      <c r="N64" s="292">
        <v>350</v>
      </c>
      <c r="O64" s="299">
        <v>550</v>
      </c>
      <c r="P64" s="381">
        <v>579.1</v>
      </c>
      <c r="Q64" s="196"/>
      <c r="R64" s="534"/>
      <c r="S64" s="537"/>
      <c r="T64" s="537" t="s">
        <v>100</v>
      </c>
      <c r="U64" s="23" t="s">
        <v>819</v>
      </c>
      <c r="V64" s="546"/>
      <c r="W64" s="164"/>
    </row>
    <row r="65" spans="1:23" ht="15" customHeight="1">
      <c r="A65" s="256" t="s">
        <v>128</v>
      </c>
      <c r="B65" s="298" t="s">
        <v>109</v>
      </c>
      <c r="C65" s="19">
        <v>2.7</v>
      </c>
      <c r="D65" s="470">
        <v>5</v>
      </c>
      <c r="E65" s="291">
        <f t="shared" si="7"/>
        <v>1880.58</v>
      </c>
      <c r="F65" s="292" t="s">
        <v>47</v>
      </c>
      <c r="G65" s="293">
        <v>2021</v>
      </c>
      <c r="H65" s="293">
        <v>2024</v>
      </c>
      <c r="I65" s="292">
        <v>160</v>
      </c>
      <c r="J65" s="293">
        <v>2021</v>
      </c>
      <c r="K65" s="293">
        <v>2025</v>
      </c>
      <c r="L65" s="292">
        <v>450.58</v>
      </c>
      <c r="M65" s="292">
        <v>350</v>
      </c>
      <c r="N65" s="292">
        <v>140</v>
      </c>
      <c r="O65" s="293">
        <v>540</v>
      </c>
      <c r="P65" s="292">
        <v>400</v>
      </c>
      <c r="Q65" s="196"/>
      <c r="R65" s="534"/>
      <c r="S65" s="537"/>
      <c r="T65" s="537" t="s">
        <v>100</v>
      </c>
      <c r="U65" s="22" t="s">
        <v>110</v>
      </c>
      <c r="V65" s="546"/>
      <c r="W65" s="164"/>
    </row>
    <row r="66" spans="1:23" ht="15" customHeight="1">
      <c r="A66" s="256" t="s">
        <v>129</v>
      </c>
      <c r="B66" s="300" t="s">
        <v>88</v>
      </c>
      <c r="C66" s="248"/>
      <c r="D66" s="248"/>
      <c r="E66" s="291">
        <f t="shared" si="7"/>
        <v>0</v>
      </c>
      <c r="F66" s="196"/>
      <c r="G66" s="294"/>
      <c r="H66" s="294"/>
      <c r="I66" s="196"/>
      <c r="J66" s="294"/>
      <c r="K66" s="294"/>
      <c r="L66" s="196"/>
      <c r="M66" s="196"/>
      <c r="N66" s="196"/>
      <c r="O66" s="196"/>
      <c r="P66" s="196"/>
      <c r="Q66" s="196"/>
      <c r="R66" s="537"/>
      <c r="S66" s="537"/>
      <c r="T66" s="537" t="s">
        <v>100</v>
      </c>
      <c r="U66" s="248"/>
      <c r="V66" s="546"/>
      <c r="W66" s="164"/>
    </row>
    <row r="67" spans="1:23" ht="31.5" customHeight="1">
      <c r="A67" s="256" t="s">
        <v>130</v>
      </c>
      <c r="B67" s="37" t="s">
        <v>113</v>
      </c>
      <c r="C67" s="19">
        <v>44</v>
      </c>
      <c r="D67" s="19">
        <f>C67</f>
        <v>44</v>
      </c>
      <c r="E67" s="291">
        <f t="shared" si="7"/>
        <v>2470</v>
      </c>
      <c r="F67" s="292" t="s">
        <v>47</v>
      </c>
      <c r="G67" s="293">
        <v>2021</v>
      </c>
      <c r="H67" s="293">
        <v>2024</v>
      </c>
      <c r="I67" s="292">
        <v>230</v>
      </c>
      <c r="J67" s="293">
        <v>2021</v>
      </c>
      <c r="K67" s="293">
        <v>2025</v>
      </c>
      <c r="L67" s="292">
        <f>900+80</f>
        <v>980</v>
      </c>
      <c r="M67" s="292">
        <v>500</v>
      </c>
      <c r="N67" s="292">
        <v>450</v>
      </c>
      <c r="O67" s="292">
        <v>180</v>
      </c>
      <c r="P67" s="292">
        <v>360</v>
      </c>
      <c r="Q67" s="196"/>
      <c r="R67" s="534"/>
      <c r="S67" s="537"/>
      <c r="T67" s="537" t="s">
        <v>100</v>
      </c>
      <c r="U67" s="23" t="s">
        <v>827</v>
      </c>
      <c r="V67" s="546"/>
      <c r="W67" s="164"/>
    </row>
    <row r="68" spans="1:23">
      <c r="A68" s="256" t="s">
        <v>132</v>
      </c>
      <c r="B68" s="298" t="s">
        <v>485</v>
      </c>
      <c r="C68" s="19">
        <v>16.8</v>
      </c>
      <c r="D68" s="470">
        <v>4</v>
      </c>
      <c r="E68" s="291">
        <f t="shared" si="7"/>
        <v>2481.02</v>
      </c>
      <c r="F68" s="292" t="s">
        <v>30</v>
      </c>
      <c r="G68" s="293">
        <v>2021</v>
      </c>
      <c r="H68" s="293">
        <v>2024</v>
      </c>
      <c r="I68" s="292">
        <v>160</v>
      </c>
      <c r="J68" s="293">
        <v>2022</v>
      </c>
      <c r="K68" s="293">
        <v>2025</v>
      </c>
      <c r="L68" s="292"/>
      <c r="M68" s="292">
        <v>440</v>
      </c>
      <c r="N68" s="292">
        <v>401.02</v>
      </c>
      <c r="O68" s="292">
        <v>640</v>
      </c>
      <c r="P68" s="292">
        <v>1000</v>
      </c>
      <c r="Q68" s="196"/>
      <c r="R68" s="534"/>
      <c r="S68" s="537"/>
      <c r="T68" s="537" t="s">
        <v>100</v>
      </c>
      <c r="U68" s="23" t="s">
        <v>133</v>
      </c>
      <c r="V68" s="546"/>
      <c r="W68" s="164"/>
    </row>
    <row r="69" spans="1:23" ht="15" customHeight="1">
      <c r="A69" s="256" t="s">
        <v>134</v>
      </c>
      <c r="B69" s="298" t="s">
        <v>103</v>
      </c>
      <c r="C69" s="19">
        <v>12.2</v>
      </c>
      <c r="D69" s="470">
        <v>15</v>
      </c>
      <c r="E69" s="291">
        <f t="shared" si="7"/>
        <v>3282.25</v>
      </c>
      <c r="F69" s="292" t="s">
        <v>47</v>
      </c>
      <c r="G69" s="293">
        <v>2021</v>
      </c>
      <c r="H69" s="293">
        <v>2024</v>
      </c>
      <c r="I69" s="292">
        <v>120</v>
      </c>
      <c r="J69" s="293">
        <v>2021</v>
      </c>
      <c r="K69" s="293">
        <v>2025</v>
      </c>
      <c r="L69" s="292">
        <v>760</v>
      </c>
      <c r="M69" s="292">
        <v>342.25</v>
      </c>
      <c r="N69" s="292">
        <v>340</v>
      </c>
      <c r="O69" s="292">
        <v>340</v>
      </c>
      <c r="P69" s="292">
        <v>1500</v>
      </c>
      <c r="Q69" s="196"/>
      <c r="R69" s="534"/>
      <c r="S69" s="537"/>
      <c r="T69" s="537" t="s">
        <v>100</v>
      </c>
      <c r="U69" s="22" t="s">
        <v>823</v>
      </c>
      <c r="V69" s="546"/>
      <c r="W69" s="164"/>
    </row>
    <row r="70" spans="1:23" ht="15" customHeight="1">
      <c r="A70" s="256" t="s">
        <v>135</v>
      </c>
      <c r="B70" s="298" t="s">
        <v>106</v>
      </c>
      <c r="C70" s="19">
        <v>7.1</v>
      </c>
      <c r="D70" s="470">
        <v>6</v>
      </c>
      <c r="E70" s="291">
        <f t="shared" si="7"/>
        <v>2660</v>
      </c>
      <c r="F70" s="292" t="s">
        <v>47</v>
      </c>
      <c r="G70" s="293">
        <v>2021</v>
      </c>
      <c r="H70" s="293">
        <v>2023</v>
      </c>
      <c r="I70" s="292">
        <v>200</v>
      </c>
      <c r="J70" s="293">
        <v>2022</v>
      </c>
      <c r="K70" s="293">
        <v>2025</v>
      </c>
      <c r="L70" s="292">
        <v>50</v>
      </c>
      <c r="M70" s="292">
        <v>510</v>
      </c>
      <c r="N70" s="292">
        <v>500</v>
      </c>
      <c r="O70" s="292">
        <v>1020</v>
      </c>
      <c r="P70" s="292">
        <v>580</v>
      </c>
      <c r="Q70" s="196"/>
      <c r="R70" s="534"/>
      <c r="S70" s="537"/>
      <c r="T70" s="537" t="s">
        <v>100</v>
      </c>
      <c r="U70" s="23" t="s">
        <v>825</v>
      </c>
      <c r="V70" s="546"/>
      <c r="W70" s="164"/>
    </row>
    <row r="71" spans="1:23" ht="30" customHeight="1">
      <c r="A71" s="256" t="s">
        <v>137</v>
      </c>
      <c r="B71" s="298" t="s">
        <v>109</v>
      </c>
      <c r="C71" s="19">
        <v>5.6</v>
      </c>
      <c r="D71" s="470">
        <v>10</v>
      </c>
      <c r="E71" s="291">
        <f t="shared" si="7"/>
        <v>1301.98</v>
      </c>
      <c r="F71" s="292" t="s">
        <v>30</v>
      </c>
      <c r="G71" s="293">
        <v>2021</v>
      </c>
      <c r="H71" s="293">
        <v>2024</v>
      </c>
      <c r="I71" s="292">
        <v>150</v>
      </c>
      <c r="J71" s="293">
        <v>2022</v>
      </c>
      <c r="K71" s="293">
        <v>2025</v>
      </c>
      <c r="L71" s="292">
        <v>80</v>
      </c>
      <c r="M71" s="292">
        <v>380</v>
      </c>
      <c r="N71" s="299">
        <v>500</v>
      </c>
      <c r="O71" s="292">
        <v>41.98</v>
      </c>
      <c r="P71" s="292">
        <v>300</v>
      </c>
      <c r="Q71" s="196"/>
      <c r="R71" s="534"/>
      <c r="S71" s="537"/>
      <c r="T71" s="537" t="s">
        <v>100</v>
      </c>
      <c r="U71" s="18" t="s">
        <v>826</v>
      </c>
      <c r="V71" s="546"/>
      <c r="W71" s="164"/>
    </row>
    <row r="72" spans="1:23" ht="15" customHeight="1">
      <c r="A72" s="256" t="s">
        <v>138</v>
      </c>
      <c r="B72" s="300" t="s">
        <v>81</v>
      </c>
      <c r="C72" s="248"/>
      <c r="D72" s="248"/>
      <c r="E72" s="291">
        <f t="shared" si="7"/>
        <v>0</v>
      </c>
      <c r="F72" s="196"/>
      <c r="G72" s="294"/>
      <c r="H72" s="294"/>
      <c r="I72" s="196"/>
      <c r="J72" s="294"/>
      <c r="K72" s="294"/>
      <c r="L72" s="196"/>
      <c r="M72" s="196"/>
      <c r="N72" s="196"/>
      <c r="O72" s="196"/>
      <c r="P72" s="196"/>
      <c r="Q72" s="196"/>
      <c r="R72" s="537"/>
      <c r="S72" s="537"/>
      <c r="T72" s="537" t="s">
        <v>100</v>
      </c>
      <c r="U72" s="248"/>
      <c r="V72" s="546"/>
      <c r="W72" s="164"/>
    </row>
    <row r="73" spans="1:23" ht="32.25" customHeight="1">
      <c r="A73" s="256" t="s">
        <v>139</v>
      </c>
      <c r="B73" s="37" t="s">
        <v>113</v>
      </c>
      <c r="C73" s="19">
        <v>74</v>
      </c>
      <c r="D73" s="19">
        <f>C73</f>
        <v>74</v>
      </c>
      <c r="E73" s="291">
        <f t="shared" si="7"/>
        <v>9010</v>
      </c>
      <c r="F73" s="292" t="s">
        <v>30</v>
      </c>
      <c r="G73" s="293">
        <v>2021</v>
      </c>
      <c r="H73" s="293">
        <v>2025</v>
      </c>
      <c r="I73" s="292">
        <v>350</v>
      </c>
      <c r="J73" s="293">
        <v>2021</v>
      </c>
      <c r="K73" s="293">
        <v>2025</v>
      </c>
      <c r="L73" s="292">
        <f>5700+200</f>
        <v>5900</v>
      </c>
      <c r="M73" s="292">
        <v>330</v>
      </c>
      <c r="N73" s="292">
        <v>450</v>
      </c>
      <c r="O73" s="292">
        <v>1710</v>
      </c>
      <c r="P73" s="292">
        <v>620</v>
      </c>
      <c r="Q73" s="196"/>
      <c r="R73" s="534"/>
      <c r="S73" s="537"/>
      <c r="T73" s="537" t="s">
        <v>100</v>
      </c>
      <c r="U73" s="23" t="s">
        <v>824</v>
      </c>
      <c r="V73" s="546"/>
      <c r="W73" s="164"/>
    </row>
    <row r="74" spans="1:23" ht="15" customHeight="1">
      <c r="A74" s="256" t="s">
        <v>141</v>
      </c>
      <c r="B74" s="298" t="s">
        <v>404</v>
      </c>
      <c r="C74" s="19">
        <v>13.83</v>
      </c>
      <c r="D74" s="470">
        <v>19</v>
      </c>
      <c r="E74" s="291">
        <f t="shared" si="7"/>
        <v>4881.45</v>
      </c>
      <c r="F74" s="292" t="s">
        <v>47</v>
      </c>
      <c r="G74" s="293">
        <v>2021</v>
      </c>
      <c r="H74" s="293">
        <v>2024</v>
      </c>
      <c r="I74" s="292">
        <v>250</v>
      </c>
      <c r="J74" s="293">
        <v>2022</v>
      </c>
      <c r="K74" s="293">
        <v>2025</v>
      </c>
      <c r="L74" s="292">
        <v>100</v>
      </c>
      <c r="M74" s="292">
        <v>520</v>
      </c>
      <c r="N74" s="292">
        <v>350</v>
      </c>
      <c r="O74" s="292">
        <v>1411.45</v>
      </c>
      <c r="P74" s="292">
        <v>2500</v>
      </c>
      <c r="Q74" s="196"/>
      <c r="R74" s="534"/>
      <c r="S74" s="537"/>
      <c r="T74" s="537" t="s">
        <v>100</v>
      </c>
      <c r="U74" s="22" t="s">
        <v>820</v>
      </c>
      <c r="V74" s="546"/>
      <c r="W74" s="164"/>
    </row>
    <row r="75" spans="1:23" ht="15" customHeight="1">
      <c r="A75" s="256" t="s">
        <v>282</v>
      </c>
      <c r="B75" s="298" t="s">
        <v>109</v>
      </c>
      <c r="C75" s="19">
        <v>3.2</v>
      </c>
      <c r="D75" s="470">
        <v>9</v>
      </c>
      <c r="E75" s="291">
        <f t="shared" si="7"/>
        <v>834.01700000000005</v>
      </c>
      <c r="F75" s="292" t="s">
        <v>47</v>
      </c>
      <c r="G75" s="293">
        <v>2021</v>
      </c>
      <c r="H75" s="293">
        <v>2024</v>
      </c>
      <c r="I75" s="292">
        <v>215</v>
      </c>
      <c r="J75" s="293">
        <v>2022</v>
      </c>
      <c r="K75" s="293">
        <v>2025</v>
      </c>
      <c r="L75" s="292">
        <v>133.02000000000001</v>
      </c>
      <c r="M75" s="292">
        <v>260</v>
      </c>
      <c r="N75" s="292">
        <v>101</v>
      </c>
      <c r="O75" s="292">
        <v>219.99700000000001</v>
      </c>
      <c r="P75" s="292">
        <v>120</v>
      </c>
      <c r="Q75" s="196"/>
      <c r="R75" s="534"/>
      <c r="S75" s="537"/>
      <c r="T75" s="537"/>
      <c r="U75" s="22" t="s">
        <v>818</v>
      </c>
      <c r="V75" s="546"/>
      <c r="W75" s="164"/>
    </row>
    <row r="76" spans="1:23" ht="15" customHeight="1">
      <c r="A76" s="256" t="s">
        <v>443</v>
      </c>
      <c r="B76" s="298" t="s">
        <v>103</v>
      </c>
      <c r="C76" s="19">
        <v>5.6</v>
      </c>
      <c r="D76" s="470">
        <v>6</v>
      </c>
      <c r="E76" s="291">
        <f t="shared" si="7"/>
        <v>1392.52901</v>
      </c>
      <c r="F76" s="292" t="s">
        <v>47</v>
      </c>
      <c r="G76" s="293">
        <v>2022</v>
      </c>
      <c r="H76" s="293">
        <v>2024</v>
      </c>
      <c r="I76" s="292">
        <v>80</v>
      </c>
      <c r="J76" s="293">
        <v>2021</v>
      </c>
      <c r="K76" s="293">
        <v>2025</v>
      </c>
      <c r="L76" s="292">
        <v>892.00600999999995</v>
      </c>
      <c r="M76" s="292">
        <v>100</v>
      </c>
      <c r="N76" s="292">
        <v>140.32300000000001</v>
      </c>
      <c r="O76" s="292">
        <v>100</v>
      </c>
      <c r="P76" s="292">
        <v>160.19999999999999</v>
      </c>
      <c r="Q76" s="196"/>
      <c r="R76" s="538"/>
      <c r="S76" s="538"/>
      <c r="T76" s="538"/>
      <c r="U76" s="22" t="s">
        <v>482</v>
      </c>
      <c r="V76" s="547"/>
      <c r="W76" s="164"/>
    </row>
    <row r="77" spans="1:23" s="24" customFormat="1" ht="15.75" customHeight="1">
      <c r="A77" s="164"/>
      <c r="B77" s="540" t="s">
        <v>143</v>
      </c>
      <c r="C77" s="540"/>
      <c r="D77" s="540"/>
      <c r="E77" s="28">
        <f t="shared" ref="E77" si="8">E78+E79</f>
        <v>8462.32</v>
      </c>
      <c r="F77" s="196"/>
      <c r="G77" s="196"/>
      <c r="H77" s="196"/>
      <c r="I77" s="28">
        <f t="shared" ref="I77" si="9">I78+I79</f>
        <v>790</v>
      </c>
      <c r="J77" s="196"/>
      <c r="K77" s="196"/>
      <c r="L77" s="28">
        <f t="shared" ref="L77:P77" si="10">L78+L79</f>
        <v>200</v>
      </c>
      <c r="M77" s="28">
        <f t="shared" si="10"/>
        <v>2302.3199999999997</v>
      </c>
      <c r="N77" s="28">
        <f t="shared" si="10"/>
        <v>1570</v>
      </c>
      <c r="O77" s="28">
        <f t="shared" si="10"/>
        <v>1400</v>
      </c>
      <c r="P77" s="28">
        <f t="shared" si="10"/>
        <v>2990</v>
      </c>
      <c r="Q77" s="297"/>
      <c r="R77" s="196"/>
      <c r="S77" s="196"/>
      <c r="T77" s="27"/>
      <c r="U77" s="248"/>
      <c r="V77" s="164"/>
      <c r="W77" s="164"/>
    </row>
    <row r="78" spans="1:23" s="24" customFormat="1" ht="15.75" customHeight="1">
      <c r="A78" s="164"/>
      <c r="B78" s="29" t="s">
        <v>144</v>
      </c>
      <c r="C78" s="30">
        <f t="shared" ref="C78:D78" si="11">C38+C41+C45+C48</f>
        <v>9</v>
      </c>
      <c r="D78" s="477">
        <f t="shared" si="11"/>
        <v>9</v>
      </c>
      <c r="E78" s="30">
        <f>E38+E41+E45+E48</f>
        <v>3160</v>
      </c>
      <c r="F78" s="196"/>
      <c r="G78" s="196"/>
      <c r="H78" s="196"/>
      <c r="I78" s="30">
        <f>I38+I41+I45+I48</f>
        <v>330</v>
      </c>
      <c r="J78" s="196"/>
      <c r="K78" s="196"/>
      <c r="L78" s="30">
        <f>L38+L41+L45+L48</f>
        <v>200</v>
      </c>
      <c r="M78" s="30">
        <f>M38+M41+M45+M48</f>
        <v>1400</v>
      </c>
      <c r="N78" s="30">
        <f>N38+N41+N45+N48</f>
        <v>850</v>
      </c>
      <c r="O78" s="30">
        <f>O38+O41+O45+O48</f>
        <v>460</v>
      </c>
      <c r="P78" s="30">
        <f>P38+P41+P45+P48</f>
        <v>250</v>
      </c>
      <c r="Q78" s="297"/>
      <c r="R78" s="196"/>
      <c r="S78" s="196"/>
      <c r="T78" s="27"/>
      <c r="U78" s="248"/>
      <c r="V78" s="164"/>
      <c r="W78" s="164"/>
    </row>
    <row r="79" spans="1:23" s="24" customFormat="1" ht="15.75" customHeight="1">
      <c r="A79" s="164"/>
      <c r="B79" s="29" t="s">
        <v>145</v>
      </c>
      <c r="C79" s="160">
        <f t="shared" ref="C79:D79" si="12">C36+C42+C35+C39+C43+C46</f>
        <v>20.059999999999999</v>
      </c>
      <c r="D79" s="294">
        <f t="shared" si="12"/>
        <v>20</v>
      </c>
      <c r="E79" s="196">
        <f>E36+E42+E35+E39+E43+E46</f>
        <v>5302.3200000000006</v>
      </c>
      <c r="F79" s="196"/>
      <c r="G79" s="196"/>
      <c r="H79" s="196"/>
      <c r="I79" s="196">
        <f>I36+I42+I35+I39+I43+I46</f>
        <v>460</v>
      </c>
      <c r="J79" s="196"/>
      <c r="K79" s="196"/>
      <c r="L79" s="196">
        <f>L36+L42+L35+L39+L43+L46</f>
        <v>0</v>
      </c>
      <c r="M79" s="196">
        <f t="shared" ref="M79:O79" si="13">M36+M42+M35+M39+M43+M46</f>
        <v>902.31999999999994</v>
      </c>
      <c r="N79" s="196">
        <f t="shared" si="13"/>
        <v>720</v>
      </c>
      <c r="O79" s="196">
        <f t="shared" si="13"/>
        <v>940</v>
      </c>
      <c r="P79" s="196">
        <f>P36+P42+P35+P39+P43+P46</f>
        <v>2740</v>
      </c>
      <c r="Q79" s="297"/>
      <c r="R79" s="196"/>
      <c r="S79" s="196"/>
      <c r="T79" s="196"/>
      <c r="U79" s="248"/>
      <c r="V79" s="164"/>
      <c r="W79" s="164"/>
    </row>
    <row r="80" spans="1:23" s="24" customFormat="1" ht="15.75" customHeight="1">
      <c r="A80" s="164"/>
      <c r="B80" s="540" t="s">
        <v>146</v>
      </c>
      <c r="C80" s="540"/>
      <c r="D80" s="540"/>
      <c r="E80" s="31">
        <f t="shared" ref="E80" si="14">E81+E82</f>
        <v>57055.514999999992</v>
      </c>
      <c r="F80" s="196"/>
      <c r="G80" s="196"/>
      <c r="H80" s="196"/>
      <c r="I80" s="31">
        <f t="shared" ref="I80" si="15">I81+I82</f>
        <v>3358</v>
      </c>
      <c r="J80" s="196"/>
      <c r="K80" s="196"/>
      <c r="L80" s="31">
        <f t="shared" ref="L80:P80" si="16">L81+L82</f>
        <v>22074.464999999997</v>
      </c>
      <c r="M80" s="31">
        <f t="shared" si="16"/>
        <v>6858.83</v>
      </c>
      <c r="N80" s="31">
        <f t="shared" si="16"/>
        <v>6382.3430000000008</v>
      </c>
      <c r="O80" s="31">
        <f t="shared" si="16"/>
        <v>9700.5769999999993</v>
      </c>
      <c r="P80" s="31">
        <f t="shared" si="16"/>
        <v>12039.300000000001</v>
      </c>
      <c r="Q80" s="297"/>
      <c r="R80" s="196"/>
      <c r="S80" s="196"/>
      <c r="T80" s="196"/>
      <c r="U80" s="248"/>
      <c r="V80" s="164"/>
      <c r="W80" s="164"/>
    </row>
    <row r="81" spans="1:23" s="24" customFormat="1" ht="15.75" customHeight="1">
      <c r="A81" s="164"/>
      <c r="B81" s="29" t="s">
        <v>144</v>
      </c>
      <c r="C81" s="30">
        <f t="shared" ref="C81:D81" si="17">C51+C56+C61+C67+C73</f>
        <v>203</v>
      </c>
      <c r="D81" s="477">
        <f t="shared" si="17"/>
        <v>203</v>
      </c>
      <c r="E81" s="30">
        <f>E51+E56+E61+E67+E73</f>
        <v>19000</v>
      </c>
      <c r="F81" s="196"/>
      <c r="G81" s="196"/>
      <c r="H81" s="196"/>
      <c r="I81" s="30">
        <f>I51+I56+I61+I67+I73</f>
        <v>790</v>
      </c>
      <c r="J81" s="196"/>
      <c r="K81" s="196"/>
      <c r="L81" s="30">
        <f>L51+L56+L61+L67+L73</f>
        <v>10780</v>
      </c>
      <c r="M81" s="30">
        <f t="shared" ref="M81:P81" si="18">M51+M56+M61+M67+M73</f>
        <v>2010</v>
      </c>
      <c r="N81" s="30">
        <f t="shared" si="18"/>
        <v>1700</v>
      </c>
      <c r="O81" s="30">
        <f t="shared" si="18"/>
        <v>2530</v>
      </c>
      <c r="P81" s="30">
        <f t="shared" si="18"/>
        <v>1980</v>
      </c>
      <c r="Q81" s="297"/>
      <c r="R81" s="196"/>
      <c r="S81" s="196"/>
      <c r="T81" s="196"/>
      <c r="U81" s="248"/>
      <c r="V81" s="164"/>
      <c r="W81" s="164"/>
    </row>
    <row r="82" spans="1:23" s="24" customFormat="1" ht="15.75" customHeight="1">
      <c r="A82" s="164"/>
      <c r="B82" s="29" t="s">
        <v>145</v>
      </c>
      <c r="C82" s="31">
        <f>C52+C53+C54+C57+C58+C59+C63+C62+C64+C65+C68+C69+C70+C71+C74+C75+C76</f>
        <v>124.79999999999998</v>
      </c>
      <c r="D82" s="477">
        <f t="shared" ref="D82" si="19">D52+D53+D54+D57+D58+D59+D63+D62+D64+D65+D68+D69+D70+D71+D74+D75+D76</f>
        <v>149</v>
      </c>
      <c r="E82" s="31">
        <f>E52+E53+E54+E57+E58+E59+E63+E62+E64+E65+E68+E69+E70+E71+E74+E75+E76</f>
        <v>38055.514999999992</v>
      </c>
      <c r="F82" s="196"/>
      <c r="G82" s="196"/>
      <c r="H82" s="196"/>
      <c r="I82" s="31">
        <f>I52+I53+I54+I57+I58+I59+I63+I62+I64+I65+I68+I69+I70+I71+I74+I75+I76</f>
        <v>2568</v>
      </c>
      <c r="J82" s="196"/>
      <c r="K82" s="196"/>
      <c r="L82" s="31">
        <f>L52+L53+L54+L57+L58+L59+L63+L62+L64+L65+L68+L69+L70+L71+L74+L75+L76</f>
        <v>11294.464999999998</v>
      </c>
      <c r="M82" s="31">
        <f t="shared" ref="M82:P82" si="20">M52+M53+M54+M57+M58+M59+M63+M62+M64+M65+M68+M69+M70+M71+M74+M75+M76</f>
        <v>4848.83</v>
      </c>
      <c r="N82" s="31">
        <f t="shared" si="20"/>
        <v>4682.3430000000008</v>
      </c>
      <c r="O82" s="31">
        <f t="shared" si="20"/>
        <v>7170.5769999999993</v>
      </c>
      <c r="P82" s="31">
        <f t="shared" si="20"/>
        <v>10059.300000000001</v>
      </c>
      <c r="Q82" s="297"/>
      <c r="R82" s="196"/>
      <c r="S82" s="196"/>
      <c r="T82" s="196"/>
      <c r="U82" s="248"/>
      <c r="V82" s="164"/>
      <c r="W82" s="164"/>
    </row>
    <row r="83" spans="1:23" ht="15.75" customHeight="1">
      <c r="A83" s="256"/>
      <c r="B83" s="540" t="s">
        <v>147</v>
      </c>
      <c r="C83" s="540"/>
      <c r="D83" s="540"/>
      <c r="E83" s="196">
        <f>E77+E80</f>
        <v>65517.834999999992</v>
      </c>
      <c r="F83" s="196"/>
      <c r="G83" s="196"/>
      <c r="H83" s="196"/>
      <c r="I83" s="196">
        <f>I77+I80</f>
        <v>4148</v>
      </c>
      <c r="J83" s="196"/>
      <c r="K83" s="196"/>
      <c r="L83" s="196">
        <f>L77+L80</f>
        <v>22274.464999999997</v>
      </c>
      <c r="M83" s="196">
        <f t="shared" ref="M83:P83" si="21">M77+M80</f>
        <v>9161.15</v>
      </c>
      <c r="N83" s="196">
        <f t="shared" si="21"/>
        <v>7952.3430000000008</v>
      </c>
      <c r="O83" s="196">
        <f t="shared" si="21"/>
        <v>11100.576999999999</v>
      </c>
      <c r="P83" s="196">
        <f t="shared" si="21"/>
        <v>15029.300000000001</v>
      </c>
      <c r="Q83" s="297"/>
      <c r="R83" s="196"/>
      <c r="S83" s="196"/>
      <c r="T83" s="196"/>
      <c r="U83" s="248"/>
      <c r="V83" s="164"/>
      <c r="W83" s="164"/>
    </row>
    <row r="84" spans="1:23" s="5" customFormat="1" ht="15" customHeight="1">
      <c r="A84" s="3">
        <v>5</v>
      </c>
      <c r="B84" s="541" t="s">
        <v>148</v>
      </c>
      <c r="C84" s="541"/>
      <c r="D84" s="541"/>
      <c r="E84" s="4"/>
      <c r="F84" s="4"/>
      <c r="G84" s="4"/>
      <c r="H84" s="4"/>
      <c r="I84" s="4"/>
      <c r="J84" s="4"/>
      <c r="K84" s="4"/>
      <c r="L84" s="4"/>
      <c r="M84" s="4"/>
      <c r="N84" s="4"/>
      <c r="O84" s="4"/>
      <c r="P84" s="4"/>
      <c r="Q84" s="4"/>
      <c r="R84" s="128"/>
      <c r="S84" s="4"/>
      <c r="T84" s="4"/>
      <c r="U84" s="4"/>
      <c r="V84" s="4"/>
      <c r="W84" s="4"/>
    </row>
    <row r="85" spans="1:23" s="10" customFormat="1" ht="50.25" customHeight="1">
      <c r="A85" s="32" t="s">
        <v>499</v>
      </c>
      <c r="B85" s="33" t="s">
        <v>151</v>
      </c>
      <c r="C85" s="431"/>
      <c r="D85" s="431"/>
      <c r="E85" s="481">
        <f t="shared" ref="E85:E96" si="22">I85+L85+M85+N85+O85+P85</f>
        <v>923.88400000000001</v>
      </c>
      <c r="F85" s="431"/>
      <c r="G85" s="35"/>
      <c r="H85" s="35"/>
      <c r="I85" s="431"/>
      <c r="J85" s="431"/>
      <c r="K85" s="431"/>
      <c r="L85" s="472">
        <v>0</v>
      </c>
      <c r="M85" s="472">
        <v>168.036</v>
      </c>
      <c r="N85" s="472">
        <v>293.91000000000003</v>
      </c>
      <c r="O85" s="472">
        <v>99.087999999999994</v>
      </c>
      <c r="P85" s="472">
        <v>362.85</v>
      </c>
      <c r="Q85" s="431"/>
      <c r="R85" s="530" t="s">
        <v>504</v>
      </c>
      <c r="S85" s="34">
        <v>1</v>
      </c>
      <c r="T85" s="34" t="s">
        <v>149</v>
      </c>
      <c r="U85" s="34"/>
      <c r="V85" s="34" t="s">
        <v>804</v>
      </c>
      <c r="W85" s="34"/>
    </row>
    <row r="86" spans="1:23" s="10" customFormat="1" ht="30" customHeight="1">
      <c r="A86" s="32" t="s">
        <v>150</v>
      </c>
      <c r="B86" s="33" t="s">
        <v>154</v>
      </c>
      <c r="C86" s="431"/>
      <c r="D86" s="431"/>
      <c r="E86" s="481">
        <f t="shared" si="22"/>
        <v>42461.49</v>
      </c>
      <c r="F86" s="431"/>
      <c r="G86" s="431"/>
      <c r="H86" s="431"/>
      <c r="I86" s="431"/>
      <c r="J86" s="431"/>
      <c r="K86" s="431"/>
      <c r="L86" s="322">
        <f>L87+L88+L89+L90+L91</f>
        <v>6944.34</v>
      </c>
      <c r="M86" s="322">
        <f>M87+M88+M89+M90+M91</f>
        <v>7655.1</v>
      </c>
      <c r="N86" s="322">
        <f t="shared" ref="N86:P86" si="23">N87+N88+N89+N90+N91</f>
        <v>8419.0499999999993</v>
      </c>
      <c r="O86" s="322">
        <f t="shared" si="23"/>
        <v>9259.3499999999985</v>
      </c>
      <c r="P86" s="322">
        <f t="shared" si="23"/>
        <v>10183.65</v>
      </c>
      <c r="Q86" s="35"/>
      <c r="R86" s="531"/>
      <c r="S86" s="34" t="s">
        <v>489</v>
      </c>
      <c r="T86" s="34" t="s">
        <v>149</v>
      </c>
      <c r="U86" s="34"/>
      <c r="V86" s="34" t="s">
        <v>805</v>
      </c>
      <c r="W86" s="34"/>
    </row>
    <row r="87" spans="1:23" ht="60" customHeight="1">
      <c r="A87" s="255" t="s">
        <v>500</v>
      </c>
      <c r="B87" s="37" t="s">
        <v>439</v>
      </c>
      <c r="C87" s="12"/>
      <c r="D87" s="12"/>
      <c r="E87" s="333">
        <f t="shared" si="22"/>
        <v>2587.8000000000002</v>
      </c>
      <c r="F87" s="12"/>
      <c r="G87" s="12"/>
      <c r="H87" s="12"/>
      <c r="I87" s="12"/>
      <c r="J87" s="12"/>
      <c r="K87" s="12"/>
      <c r="L87" s="284">
        <v>169.6</v>
      </c>
      <c r="M87" s="284">
        <v>308.8</v>
      </c>
      <c r="N87" s="284">
        <v>515.79999999999995</v>
      </c>
      <c r="O87" s="284">
        <v>518.4</v>
      </c>
      <c r="P87" s="284">
        <v>1075.2</v>
      </c>
      <c r="Q87" s="254"/>
      <c r="R87" s="531"/>
      <c r="S87" s="12"/>
      <c r="T87" s="12"/>
      <c r="U87" s="12"/>
      <c r="V87" s="12"/>
      <c r="W87" s="12"/>
    </row>
    <row r="88" spans="1:23" ht="30" customHeight="1">
      <c r="A88" s="255" t="s">
        <v>501</v>
      </c>
      <c r="B88" s="37" t="s">
        <v>157</v>
      </c>
      <c r="C88" s="12"/>
      <c r="D88" s="12"/>
      <c r="E88" s="333">
        <f t="shared" si="22"/>
        <v>25681.920000000002</v>
      </c>
      <c r="F88" s="12"/>
      <c r="G88" s="12"/>
      <c r="H88" s="12"/>
      <c r="I88" s="12"/>
      <c r="J88" s="12"/>
      <c r="K88" s="12"/>
      <c r="L88" s="284">
        <v>4681.2</v>
      </c>
      <c r="M88" s="284">
        <v>3456.07</v>
      </c>
      <c r="N88" s="284">
        <v>5526.25</v>
      </c>
      <c r="O88" s="284">
        <v>5774.95</v>
      </c>
      <c r="P88" s="284">
        <v>6243.45</v>
      </c>
      <c r="Q88" s="254"/>
      <c r="R88" s="531"/>
      <c r="S88" s="12"/>
      <c r="T88" s="12"/>
      <c r="U88" s="12"/>
      <c r="V88" s="12"/>
      <c r="W88" s="12"/>
    </row>
    <row r="89" spans="1:23" ht="30" customHeight="1">
      <c r="A89" s="255" t="s">
        <v>502</v>
      </c>
      <c r="B89" s="37" t="s">
        <v>158</v>
      </c>
      <c r="C89" s="12"/>
      <c r="D89" s="12"/>
      <c r="E89" s="333">
        <f t="shared" si="22"/>
        <v>4108.2</v>
      </c>
      <c r="F89" s="12"/>
      <c r="G89" s="12"/>
      <c r="H89" s="12"/>
      <c r="I89" s="12"/>
      <c r="J89" s="12"/>
      <c r="K89" s="12"/>
      <c r="L89" s="284">
        <v>448.2</v>
      </c>
      <c r="M89" s="284">
        <v>560</v>
      </c>
      <c r="N89" s="284">
        <v>950</v>
      </c>
      <c r="O89" s="284">
        <v>1000</v>
      </c>
      <c r="P89" s="284">
        <v>1150</v>
      </c>
      <c r="Q89" s="254"/>
      <c r="R89" s="531"/>
      <c r="S89" s="12"/>
      <c r="T89" s="12"/>
      <c r="U89" s="12"/>
      <c r="V89" s="12"/>
      <c r="W89" s="12"/>
    </row>
    <row r="90" spans="1:23" ht="33" customHeight="1">
      <c r="A90" s="255" t="s">
        <v>503</v>
      </c>
      <c r="B90" s="37" t="s">
        <v>395</v>
      </c>
      <c r="C90" s="12"/>
      <c r="D90" s="12"/>
      <c r="E90" s="333">
        <f t="shared" si="22"/>
        <v>2645.34</v>
      </c>
      <c r="F90" s="12"/>
      <c r="G90" s="12"/>
      <c r="H90" s="12"/>
      <c r="I90" s="12"/>
      <c r="J90" s="12"/>
      <c r="K90" s="12"/>
      <c r="L90" s="284">
        <v>1645.3400000000001</v>
      </c>
      <c r="M90" s="284">
        <v>0</v>
      </c>
      <c r="N90" s="284">
        <v>0</v>
      </c>
      <c r="O90" s="284">
        <v>1000</v>
      </c>
      <c r="P90" s="284">
        <v>0</v>
      </c>
      <c r="Q90" s="254"/>
      <c r="R90" s="531"/>
      <c r="S90" s="12"/>
      <c r="T90" s="12"/>
      <c r="U90" s="12"/>
      <c r="V90" s="12"/>
      <c r="W90" s="12"/>
    </row>
    <row r="91" spans="1:23" ht="26.25" customHeight="1">
      <c r="A91" s="255" t="s">
        <v>720</v>
      </c>
      <c r="B91" s="371" t="s">
        <v>721</v>
      </c>
      <c r="C91" s="12"/>
      <c r="D91" s="12"/>
      <c r="E91" s="333">
        <f t="shared" si="22"/>
        <v>7438.23</v>
      </c>
      <c r="F91" s="12"/>
      <c r="G91" s="12"/>
      <c r="H91" s="12"/>
      <c r="I91" s="12"/>
      <c r="J91" s="12"/>
      <c r="K91" s="12"/>
      <c r="L91" s="284">
        <v>0</v>
      </c>
      <c r="M91" s="284">
        <v>3330.23</v>
      </c>
      <c r="N91" s="284">
        <v>1427</v>
      </c>
      <c r="O91" s="284">
        <v>966</v>
      </c>
      <c r="P91" s="284">
        <v>1715</v>
      </c>
      <c r="Q91" s="254"/>
      <c r="R91" s="531"/>
      <c r="S91" s="12"/>
      <c r="T91" s="12"/>
      <c r="U91" s="12"/>
      <c r="V91" s="12"/>
      <c r="W91" s="12"/>
    </row>
    <row r="92" spans="1:23" s="10" customFormat="1" ht="60" customHeight="1">
      <c r="A92" s="32" t="s">
        <v>153</v>
      </c>
      <c r="B92" s="33" t="s">
        <v>160</v>
      </c>
      <c r="C92" s="34"/>
      <c r="D92" s="34"/>
      <c r="E92" s="193">
        <f t="shared" si="22"/>
        <v>15850.659</v>
      </c>
      <c r="F92" s="34"/>
      <c r="G92" s="34"/>
      <c r="H92" s="34"/>
      <c r="I92" s="34"/>
      <c r="J92" s="34"/>
      <c r="K92" s="34"/>
      <c r="L92" s="322">
        <f>L93+L94</f>
        <v>2375.3829999999998</v>
      </c>
      <c r="M92" s="322">
        <f t="shared" ref="M92:P92" si="24">M93+M94</f>
        <v>2896.424</v>
      </c>
      <c r="N92" s="322">
        <f>N93+N94</f>
        <v>3118.79</v>
      </c>
      <c r="O92" s="322">
        <f t="shared" si="24"/>
        <v>3633.8119999999999</v>
      </c>
      <c r="P92" s="322">
        <f t="shared" si="24"/>
        <v>3826.25</v>
      </c>
      <c r="Q92" s="35"/>
      <c r="R92" s="531"/>
      <c r="S92" s="34">
        <v>8.9</v>
      </c>
      <c r="T92" s="34" t="s">
        <v>149</v>
      </c>
      <c r="U92" s="34"/>
      <c r="V92" s="34" t="s">
        <v>480</v>
      </c>
      <c r="W92" s="34"/>
    </row>
    <row r="93" spans="1:23" ht="30" customHeight="1">
      <c r="A93" s="255" t="s">
        <v>155</v>
      </c>
      <c r="B93" s="14" t="s">
        <v>162</v>
      </c>
      <c r="C93" s="12"/>
      <c r="D93" s="12"/>
      <c r="E93" s="333">
        <f t="shared" si="22"/>
        <v>8713.3829999999998</v>
      </c>
      <c r="F93" s="12"/>
      <c r="G93" s="12"/>
      <c r="H93" s="12"/>
      <c r="I93" s="12"/>
      <c r="J93" s="12"/>
      <c r="K93" s="12"/>
      <c r="L93" s="284">
        <v>1753.383</v>
      </c>
      <c r="M93" s="483">
        <v>1780</v>
      </c>
      <c r="N93" s="483">
        <v>2040</v>
      </c>
      <c r="O93" s="483">
        <v>1040</v>
      </c>
      <c r="P93" s="483">
        <v>2100</v>
      </c>
      <c r="Q93" s="13"/>
      <c r="R93" s="531"/>
      <c r="S93" s="12"/>
      <c r="T93" s="12"/>
      <c r="U93" s="12"/>
      <c r="V93" s="12"/>
      <c r="W93" s="12"/>
    </row>
    <row r="94" spans="1:23" ht="45" customHeight="1">
      <c r="A94" s="255" t="s">
        <v>156</v>
      </c>
      <c r="B94" s="14" t="s">
        <v>164</v>
      </c>
      <c r="C94" s="12"/>
      <c r="D94" s="12"/>
      <c r="E94" s="333">
        <f t="shared" si="22"/>
        <v>7137.2759999999998</v>
      </c>
      <c r="F94" s="12"/>
      <c r="G94" s="12"/>
      <c r="H94" s="12"/>
      <c r="I94" s="12"/>
      <c r="J94" s="12"/>
      <c r="K94" s="12"/>
      <c r="L94" s="284">
        <v>622</v>
      </c>
      <c r="M94" s="483">
        <v>1116.424</v>
      </c>
      <c r="N94" s="483">
        <v>1078.79</v>
      </c>
      <c r="O94" s="483">
        <v>2593.8119999999999</v>
      </c>
      <c r="P94" s="483">
        <v>1726.25</v>
      </c>
      <c r="Q94" s="13"/>
      <c r="R94" s="531"/>
      <c r="S94" s="12"/>
      <c r="T94" s="12"/>
      <c r="U94" s="12"/>
      <c r="V94" s="12"/>
      <c r="W94" s="12"/>
    </row>
    <row r="95" spans="1:23" s="10" customFormat="1" ht="30" customHeight="1">
      <c r="A95" s="32" t="s">
        <v>159</v>
      </c>
      <c r="B95" s="33" t="s">
        <v>299</v>
      </c>
      <c r="C95" s="34"/>
      <c r="D95" s="34"/>
      <c r="E95" s="193">
        <f t="shared" si="22"/>
        <v>9318.64</v>
      </c>
      <c r="F95" s="34"/>
      <c r="G95" s="34"/>
      <c r="H95" s="34"/>
      <c r="I95" s="34"/>
      <c r="J95" s="34"/>
      <c r="K95" s="34"/>
      <c r="L95" s="322">
        <v>2039.7</v>
      </c>
      <c r="M95" s="322">
        <v>1538.94</v>
      </c>
      <c r="N95" s="322">
        <v>1700</v>
      </c>
      <c r="O95" s="322">
        <v>1940</v>
      </c>
      <c r="P95" s="322">
        <v>2100</v>
      </c>
      <c r="Q95" s="35"/>
      <c r="R95" s="531"/>
      <c r="S95" s="34">
        <v>1.2</v>
      </c>
      <c r="T95" s="34" t="s">
        <v>175</v>
      </c>
      <c r="U95" s="34"/>
      <c r="V95" s="34" t="s">
        <v>806</v>
      </c>
      <c r="W95" s="34"/>
    </row>
    <row r="96" spans="1:23" s="10" customFormat="1" ht="30" customHeight="1">
      <c r="A96" s="142" t="s">
        <v>165</v>
      </c>
      <c r="B96" s="143" t="s">
        <v>396</v>
      </c>
      <c r="C96" s="144"/>
      <c r="D96" s="144"/>
      <c r="E96" s="193">
        <f t="shared" si="22"/>
        <v>2214.4989999999998</v>
      </c>
      <c r="F96" s="144"/>
      <c r="G96" s="144"/>
      <c r="H96" s="144"/>
      <c r="I96" s="144"/>
      <c r="J96" s="144"/>
      <c r="K96" s="144"/>
      <c r="L96" s="329">
        <v>214.499</v>
      </c>
      <c r="M96" s="329">
        <v>500</v>
      </c>
      <c r="N96" s="329">
        <v>500</v>
      </c>
      <c r="O96" s="329">
        <v>500</v>
      </c>
      <c r="P96" s="329">
        <v>500</v>
      </c>
      <c r="Q96" s="145"/>
      <c r="R96" s="532"/>
      <c r="S96" s="144">
        <v>1</v>
      </c>
      <c r="T96" s="144"/>
      <c r="U96" s="144"/>
      <c r="V96" s="34" t="s">
        <v>480</v>
      </c>
      <c r="W96" s="34"/>
    </row>
    <row r="97" spans="1:25" ht="15.75" customHeight="1">
      <c r="A97" s="258"/>
      <c r="B97" s="542" t="s">
        <v>166</v>
      </c>
      <c r="C97" s="542"/>
      <c r="D97" s="542"/>
      <c r="E97" s="336">
        <f>I97+L97+M97+N97+O97+P97</f>
        <v>70769.171999999991</v>
      </c>
      <c r="F97" s="194"/>
      <c r="G97" s="194"/>
      <c r="H97" s="194"/>
      <c r="I97" s="194">
        <f>I85+I86+I92+I95</f>
        <v>0</v>
      </c>
      <c r="J97" s="194"/>
      <c r="K97" s="194"/>
      <c r="L97" s="194">
        <f>L95+L92+L86+L85+L96</f>
        <v>11573.921999999999</v>
      </c>
      <c r="M97" s="194">
        <f>M95+M92+M86+M85+M96</f>
        <v>12758.5</v>
      </c>
      <c r="N97" s="194">
        <f>N95+N92+N86+N85+N96</f>
        <v>14031.75</v>
      </c>
      <c r="O97" s="194">
        <f>O95+O92+O86+O85+O96</f>
        <v>15432.249999999998</v>
      </c>
      <c r="P97" s="194">
        <f>P95+P92+P86+P85+P96</f>
        <v>16972.75</v>
      </c>
      <c r="Q97" s="310"/>
      <c r="R97" s="38"/>
      <c r="S97" s="38"/>
      <c r="T97" s="38"/>
      <c r="U97" s="38"/>
      <c r="V97" s="38"/>
      <c r="W97" s="12"/>
    </row>
    <row r="98" spans="1:25" s="5" customFormat="1" ht="15" customHeight="1">
      <c r="A98" s="95"/>
      <c r="B98" s="25" t="s">
        <v>167</v>
      </c>
      <c r="C98" s="25"/>
      <c r="D98" s="25"/>
      <c r="E98" s="334">
        <f>L98+M98+N98+O98+P98</f>
        <v>283076.78700000001</v>
      </c>
      <c r="F98" s="103"/>
      <c r="G98" s="103"/>
      <c r="H98" s="103"/>
      <c r="I98" s="335">
        <f>I97+I83+I32</f>
        <v>4148</v>
      </c>
      <c r="J98" s="103"/>
      <c r="K98" s="103"/>
      <c r="L98" s="335">
        <f>L97+L83+L32</f>
        <v>46295.786999999997</v>
      </c>
      <c r="M98" s="335">
        <f t="shared" ref="M98:P98" si="25">M97+M83+M32</f>
        <v>51034</v>
      </c>
      <c r="N98" s="335">
        <f t="shared" si="25"/>
        <v>56127</v>
      </c>
      <c r="O98" s="335">
        <f t="shared" si="25"/>
        <v>61728.999999999993</v>
      </c>
      <c r="P98" s="335">
        <f t="shared" si="25"/>
        <v>67891</v>
      </c>
      <c r="Q98" s="103"/>
      <c r="R98" s="90"/>
      <c r="S98" s="90"/>
      <c r="T98" s="90"/>
      <c r="U98" s="90"/>
      <c r="V98" s="90"/>
      <c r="W98" s="90"/>
    </row>
    <row r="99" spans="1:25">
      <c r="A99" s="1"/>
      <c r="B99" s="39"/>
      <c r="C99" s="39"/>
      <c r="D99" s="39"/>
      <c r="E99" s="40"/>
      <c r="F99" s="40"/>
      <c r="G99" s="40"/>
      <c r="H99" s="40"/>
      <c r="I99" s="40"/>
      <c r="J99" s="40"/>
      <c r="K99" s="40"/>
      <c r="L99" s="138"/>
      <c r="M99" s="41"/>
      <c r="N99" s="41"/>
      <c r="O99" s="41"/>
      <c r="P99" s="41"/>
      <c r="Q99" s="41"/>
      <c r="R99" s="40"/>
      <c r="S99" s="40"/>
      <c r="T99" s="40"/>
      <c r="U99" s="40"/>
      <c r="V99" s="40"/>
      <c r="W99" s="40"/>
    </row>
    <row r="100" spans="1:25" s="154" customFormat="1" ht="21" customHeight="1">
      <c r="A100" s="151"/>
      <c r="B100" s="152"/>
      <c r="C100" s="153"/>
      <c r="D100" s="153"/>
      <c r="E100" s="311"/>
      <c r="F100" s="153"/>
      <c r="G100" s="153"/>
      <c r="H100" s="153"/>
      <c r="I100" s="153"/>
      <c r="J100" s="311"/>
      <c r="K100" s="311"/>
      <c r="L100" s="456"/>
      <c r="M100" s="456"/>
      <c r="N100" s="456"/>
      <c r="O100" s="456"/>
      <c r="P100" s="456"/>
      <c r="Q100" s="312"/>
      <c r="R100" s="370"/>
      <c r="S100" s="313"/>
      <c r="T100" s="313"/>
      <c r="U100" s="153"/>
      <c r="V100" s="153"/>
      <c r="W100" s="153"/>
    </row>
    <row r="101" spans="1:25" ht="30" customHeight="1">
      <c r="A101" s="1"/>
      <c r="B101" s="83"/>
      <c r="C101" s="40"/>
      <c r="D101" s="40"/>
      <c r="E101" s="41"/>
      <c r="F101" s="40"/>
      <c r="G101" s="40"/>
      <c r="H101" s="40"/>
      <c r="I101" s="40"/>
      <c r="J101" s="41"/>
      <c r="K101" s="41"/>
      <c r="L101" s="482"/>
      <c r="M101" s="446"/>
      <c r="N101" s="446"/>
      <c r="O101" s="446"/>
      <c r="P101" s="446"/>
      <c r="Q101" s="41"/>
      <c r="R101" s="314"/>
      <c r="S101" s="315"/>
      <c r="T101" s="315"/>
      <c r="U101" s="40"/>
      <c r="V101" s="40"/>
      <c r="W101" s="40"/>
    </row>
    <row r="102" spans="1:25" s="44" customFormat="1">
      <c r="A102" s="42" t="s">
        <v>168</v>
      </c>
      <c r="B102" s="42"/>
      <c r="C102" s="42"/>
      <c r="D102" s="42"/>
      <c r="E102" s="84"/>
      <c r="F102" s="40"/>
      <c r="G102" s="42"/>
      <c r="H102" s="59"/>
      <c r="I102" s="59"/>
      <c r="J102" s="42"/>
      <c r="K102" s="42"/>
      <c r="L102" s="443"/>
      <c r="M102" s="443"/>
      <c r="N102" s="443"/>
      <c r="O102" s="443"/>
      <c r="P102" s="443"/>
      <c r="Q102" s="316"/>
      <c r="R102" s="199"/>
      <c r="S102" s="43"/>
      <c r="T102" s="43"/>
      <c r="U102" s="42"/>
      <c r="V102" s="2"/>
      <c r="W102" s="2"/>
      <c r="X102" s="250"/>
    </row>
    <row r="103" spans="1:25" s="45" customFormat="1">
      <c r="A103" s="42" t="s">
        <v>169</v>
      </c>
      <c r="B103" s="42"/>
      <c r="C103" s="42"/>
      <c r="D103" s="42"/>
      <c r="E103" s="84"/>
      <c r="F103" s="42"/>
      <c r="K103" s="190"/>
      <c r="L103" s="443"/>
      <c r="M103" s="443"/>
      <c r="N103" s="443"/>
      <c r="O103" s="443"/>
      <c r="P103" s="443"/>
      <c r="Q103" s="316"/>
      <c r="R103" s="200"/>
      <c r="S103" s="46"/>
      <c r="T103" s="46"/>
    </row>
    <row r="104" spans="1:25" s="155" customFormat="1" ht="15.75">
      <c r="B104" s="156"/>
      <c r="C104" s="251"/>
      <c r="D104" s="543"/>
      <c r="E104" s="543"/>
      <c r="F104" s="251"/>
      <c r="G104" s="251"/>
      <c r="H104" s="251"/>
      <c r="I104" s="251"/>
      <c r="J104" s="157"/>
      <c r="K104" s="191"/>
      <c r="L104" s="59"/>
      <c r="M104" s="59"/>
      <c r="N104" s="59"/>
      <c r="O104" s="59"/>
      <c r="P104" s="59"/>
      <c r="Q104" s="312"/>
      <c r="R104" s="154"/>
      <c r="S104" s="251"/>
      <c r="T104" s="251"/>
      <c r="U104" s="251"/>
      <c r="V104" s="158"/>
      <c r="W104" s="159"/>
      <c r="X104" s="159"/>
    </row>
    <row r="105" spans="1:25" s="44" customFormat="1" ht="38.25" customHeight="1">
      <c r="B105" s="49" t="s">
        <v>392</v>
      </c>
      <c r="C105" s="250"/>
      <c r="F105" s="140"/>
      <c r="G105" s="140"/>
      <c r="H105" s="250"/>
      <c r="I105" s="250"/>
      <c r="J105" s="535" t="s">
        <v>265</v>
      </c>
      <c r="K105" s="535"/>
      <c r="L105" s="59"/>
      <c r="M105" s="59"/>
      <c r="N105" s="59"/>
      <c r="O105" s="59"/>
      <c r="P105" s="59"/>
      <c r="Q105" s="317"/>
      <c r="R105" s="250"/>
      <c r="S105" s="250"/>
      <c r="T105" s="250"/>
      <c r="U105" s="250"/>
      <c r="V105" s="47"/>
      <c r="W105" s="48"/>
      <c r="X105" s="48"/>
    </row>
    <row r="106" spans="1:25" s="44" customFormat="1">
      <c r="B106" s="49" t="s">
        <v>393</v>
      </c>
      <c r="C106" s="250"/>
      <c r="F106" s="528" t="s">
        <v>170</v>
      </c>
      <c r="G106" s="528"/>
      <c r="H106" s="250"/>
      <c r="I106" s="250"/>
      <c r="J106" s="533" t="s">
        <v>171</v>
      </c>
      <c r="K106" s="533"/>
      <c r="L106" s="59"/>
      <c r="M106" s="59"/>
      <c r="N106" s="59"/>
      <c r="O106" s="59"/>
      <c r="P106" s="59"/>
      <c r="Q106" s="88"/>
      <c r="R106" s="250"/>
      <c r="S106" s="250"/>
      <c r="T106" s="250"/>
      <c r="U106" s="250"/>
      <c r="V106" s="50"/>
      <c r="W106" s="48"/>
      <c r="X106" s="48"/>
    </row>
    <row r="107" spans="1:25" s="51" customFormat="1" ht="15" customHeight="1">
      <c r="B107" s="52" t="s">
        <v>172</v>
      </c>
      <c r="C107" s="250"/>
      <c r="F107" s="529" t="s">
        <v>173</v>
      </c>
      <c r="G107" s="529"/>
      <c r="H107" s="250"/>
      <c r="I107" s="250"/>
      <c r="J107" s="250"/>
      <c r="K107" s="250"/>
      <c r="L107" s="59"/>
      <c r="M107" s="59"/>
      <c r="N107" s="59"/>
      <c r="O107" s="59"/>
      <c r="P107" s="59"/>
      <c r="Q107" s="250"/>
      <c r="R107" s="250"/>
      <c r="S107" s="250"/>
      <c r="T107" s="250"/>
      <c r="U107" s="250"/>
      <c r="V107" s="250"/>
      <c r="W107" s="44"/>
      <c r="X107" s="44"/>
      <c r="Y107" s="53"/>
    </row>
    <row r="108" spans="1:25" s="51" customFormat="1">
      <c r="B108" s="52"/>
      <c r="C108" s="44"/>
      <c r="D108" s="54"/>
      <c r="E108" s="54"/>
      <c r="F108" s="54"/>
      <c r="G108" s="54"/>
      <c r="H108" s="54"/>
      <c r="I108" s="54"/>
      <c r="J108" s="473"/>
      <c r="K108" s="474"/>
      <c r="L108" s="475"/>
      <c r="M108" s="141"/>
      <c r="N108" s="141"/>
      <c r="O108" s="141"/>
      <c r="P108" s="141"/>
      <c r="Q108" s="89"/>
      <c r="R108" s="201"/>
      <c r="S108" s="54"/>
      <c r="T108" s="54"/>
      <c r="U108" s="54"/>
      <c r="V108" s="50"/>
      <c r="W108" s="44"/>
      <c r="X108" s="44"/>
    </row>
    <row r="109" spans="1:25">
      <c r="B109" s="56" t="s">
        <v>174</v>
      </c>
      <c r="C109" s="51"/>
      <c r="D109" s="51"/>
      <c r="E109" s="51"/>
      <c r="F109" s="51"/>
      <c r="G109" s="51"/>
      <c r="H109" s="51"/>
      <c r="I109" s="51"/>
      <c r="J109" s="51"/>
      <c r="K109" s="51"/>
      <c r="L109" s="453"/>
      <c r="M109" s="453"/>
      <c r="N109" s="453"/>
      <c r="O109" s="453"/>
      <c r="P109" s="453"/>
      <c r="Q109" s="51"/>
      <c r="R109" s="202"/>
      <c r="S109" s="51"/>
      <c r="T109" s="51"/>
      <c r="U109" s="51"/>
      <c r="V109" s="51"/>
      <c r="W109" s="51"/>
    </row>
    <row r="110" spans="1:25">
      <c r="L110" s="442"/>
      <c r="M110" s="442"/>
      <c r="N110" s="442"/>
      <c r="O110" s="442"/>
      <c r="P110" s="442"/>
    </row>
    <row r="111" spans="1:25">
      <c r="L111" s="453"/>
      <c r="M111" s="442"/>
      <c r="N111" s="442"/>
      <c r="O111" s="442"/>
      <c r="P111" s="442"/>
    </row>
    <row r="112" spans="1:25">
      <c r="L112" s="367"/>
      <c r="M112" s="367"/>
      <c r="N112" s="367"/>
      <c r="O112" s="367"/>
      <c r="P112" s="367"/>
    </row>
    <row r="115" spans="12:16">
      <c r="L115" s="447"/>
      <c r="M115" s="447"/>
      <c r="N115" s="447"/>
      <c r="O115" s="447"/>
      <c r="P115" s="447"/>
    </row>
  </sheetData>
  <sheetProtection insertRows="0" deleteRows="0"/>
  <mergeCells count="50">
    <mergeCell ref="L3:P3"/>
    <mergeCell ref="J3:J4"/>
    <mergeCell ref="K3:K4"/>
    <mergeCell ref="B12:D12"/>
    <mergeCell ref="D3:D4"/>
    <mergeCell ref="E3:E4"/>
    <mergeCell ref="G3:G4"/>
    <mergeCell ref="H3:H4"/>
    <mergeCell ref="W2:W4"/>
    <mergeCell ref="A1:W1"/>
    <mergeCell ref="A2:A4"/>
    <mergeCell ref="B2:B4"/>
    <mergeCell ref="C2:C4"/>
    <mergeCell ref="D2:E2"/>
    <mergeCell ref="F2:F4"/>
    <mergeCell ref="G2:H2"/>
    <mergeCell ref="I2:I4"/>
    <mergeCell ref="Q2:Q4"/>
    <mergeCell ref="R2:R4"/>
    <mergeCell ref="S2:S4"/>
    <mergeCell ref="V2:V4"/>
    <mergeCell ref="T2:T4"/>
    <mergeCell ref="U2:U4"/>
    <mergeCell ref="J2:P2"/>
    <mergeCell ref="B84:D84"/>
    <mergeCell ref="B97:D97"/>
    <mergeCell ref="D104:E104"/>
    <mergeCell ref="V34:V48"/>
    <mergeCell ref="B37:D37"/>
    <mergeCell ref="S34:S48"/>
    <mergeCell ref="B34:D34"/>
    <mergeCell ref="R34:R48"/>
    <mergeCell ref="V50:V76"/>
    <mergeCell ref="R50:R76"/>
    <mergeCell ref="B31:D31"/>
    <mergeCell ref="B32:D32"/>
    <mergeCell ref="B77:D77"/>
    <mergeCell ref="B80:D80"/>
    <mergeCell ref="B83:D83"/>
    <mergeCell ref="B50:D50"/>
    <mergeCell ref="B55:D55"/>
    <mergeCell ref="B60:D60"/>
    <mergeCell ref="F106:G106"/>
    <mergeCell ref="F107:G107"/>
    <mergeCell ref="R85:R96"/>
    <mergeCell ref="J106:K106"/>
    <mergeCell ref="T34:T48"/>
    <mergeCell ref="J105:K105"/>
    <mergeCell ref="S50:S76"/>
    <mergeCell ref="T50:T76"/>
  </mergeCells>
  <phoneticPr fontId="30" type="noConversion"/>
  <pageMargins left="0.27559055118110237" right="0.23622047244094491" top="0.51181102362204722" bottom="0.19685039370078741" header="0.15748031496062992" footer="0.15748031496062992"/>
  <pageSetup paperSize="8" scale="5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34">
    <tabColor rgb="FF00B0F0"/>
  </sheetPr>
  <dimension ref="A1:Y137"/>
  <sheetViews>
    <sheetView zoomScale="67" zoomScaleNormal="67" workbookViewId="0">
      <pane xSplit="2" ySplit="5" topLeftCell="C96" activePane="bottomRight" state="frozen"/>
      <selection pane="topRight" activeCell="C1" sqref="C1"/>
      <selection pane="bottomLeft" activeCell="A6" sqref="A6"/>
      <selection pane="bottomRight" activeCell="M122" sqref="M122"/>
    </sheetView>
  </sheetViews>
  <sheetFormatPr defaultRowHeight="15" outlineLevelCol="1"/>
  <cols>
    <col min="1" max="1" width="8.7109375" style="2" customWidth="1"/>
    <col min="2" max="2" width="33.7109375" style="2" customWidth="1"/>
    <col min="3" max="3" width="7.7109375" style="2" customWidth="1" outlineLevel="1"/>
    <col min="4" max="4" width="8.85546875" style="2" customWidth="1" outlineLevel="1"/>
    <col min="5" max="5" width="13.7109375" style="2" customWidth="1" outlineLevel="1"/>
    <col min="6" max="6" width="6.140625" style="2" customWidth="1" outlineLevel="1"/>
    <col min="7" max="7" width="13" style="2" customWidth="1" outlineLevel="1"/>
    <col min="8" max="8" width="11.5703125" style="2" customWidth="1" outlineLevel="1"/>
    <col min="9" max="9" width="12.7109375" style="2" customWidth="1" outlineLevel="1"/>
    <col min="10" max="10" width="10.28515625" style="2" customWidth="1" outlineLevel="1"/>
    <col min="11" max="11" width="10.42578125" style="2" customWidth="1" outlineLevel="1"/>
    <col min="12" max="13" width="13.28515625" style="2" customWidth="1" outlineLevel="1"/>
    <col min="14" max="14" width="16.85546875" style="2" customWidth="1" outlineLevel="1"/>
    <col min="15" max="15" width="14.85546875" style="2" customWidth="1" outlineLevel="1"/>
    <col min="16" max="16" width="16.7109375" style="2" customWidth="1" outlineLevel="1"/>
    <col min="17" max="17" width="17.5703125" style="2" customWidth="1" outlineLevel="1"/>
    <col min="18" max="18" width="16.28515625" style="213" customWidth="1" outlineLevel="1"/>
    <col min="19" max="19" width="15.7109375" style="2" customWidth="1" outlineLevel="1"/>
    <col min="20" max="20" width="26.28515625" style="2" customWidth="1"/>
    <col min="21" max="21" width="79.5703125" style="2" customWidth="1"/>
    <col min="22" max="22" width="16.42578125" style="2" customWidth="1"/>
    <col min="23" max="23" width="12" style="2" customWidth="1"/>
    <col min="24" max="24" width="2.42578125" style="2" customWidth="1"/>
    <col min="25" max="256" width="9.140625" style="2"/>
    <col min="257" max="257" width="10.42578125" style="2" customWidth="1"/>
    <col min="258" max="258" width="45.5703125" style="2" customWidth="1"/>
    <col min="259" max="259" width="5" style="2" customWidth="1"/>
    <col min="260" max="260" width="5.28515625" style="2" customWidth="1"/>
    <col min="261" max="261" width="13.7109375" style="2" customWidth="1"/>
    <col min="262" max="262" width="12.85546875" style="2" customWidth="1"/>
    <col min="263" max="263" width="13" style="2" customWidth="1"/>
    <col min="264" max="264" width="15.140625" style="2" customWidth="1"/>
    <col min="265" max="265" width="12.7109375" style="2" customWidth="1"/>
    <col min="266" max="266" width="10.28515625" style="2" customWidth="1"/>
    <col min="267" max="267" width="10.42578125" style="2" customWidth="1"/>
    <col min="268" max="268" width="13.7109375" style="2" customWidth="1"/>
    <col min="269" max="269" width="12" style="2" customWidth="1"/>
    <col min="270" max="271" width="12.28515625" style="2" customWidth="1"/>
    <col min="272" max="272" width="14.5703125" style="2" customWidth="1"/>
    <col min="273" max="274" width="13.7109375" style="2" customWidth="1"/>
    <col min="275" max="275" width="15.7109375" style="2" customWidth="1"/>
    <col min="276" max="276" width="26.28515625" style="2" customWidth="1"/>
    <col min="277" max="277" width="79.5703125" style="2" customWidth="1"/>
    <col min="278" max="278" width="16.42578125" style="2" customWidth="1"/>
    <col min="279" max="279" width="12" style="2" customWidth="1"/>
    <col min="280" max="280" width="2.42578125" style="2" customWidth="1"/>
    <col min="281" max="512" width="9.140625" style="2"/>
    <col min="513" max="513" width="10.42578125" style="2" customWidth="1"/>
    <col min="514" max="514" width="45.5703125" style="2" customWidth="1"/>
    <col min="515" max="515" width="5" style="2" customWidth="1"/>
    <col min="516" max="516" width="5.28515625" style="2" customWidth="1"/>
    <col min="517" max="517" width="13.7109375" style="2" customWidth="1"/>
    <col min="518" max="518" width="12.85546875" style="2" customWidth="1"/>
    <col min="519" max="519" width="13" style="2" customWidth="1"/>
    <col min="520" max="520" width="15.140625" style="2" customWidth="1"/>
    <col min="521" max="521" width="12.7109375" style="2" customWidth="1"/>
    <col min="522" max="522" width="10.28515625" style="2" customWidth="1"/>
    <col min="523" max="523" width="10.42578125" style="2" customWidth="1"/>
    <col min="524" max="524" width="13.7109375" style="2" customWidth="1"/>
    <col min="525" max="525" width="12" style="2" customWidth="1"/>
    <col min="526" max="527" width="12.28515625" style="2" customWidth="1"/>
    <col min="528" max="528" width="14.5703125" style="2" customWidth="1"/>
    <col min="529" max="530" width="13.7109375" style="2" customWidth="1"/>
    <col min="531" max="531" width="15.7109375" style="2" customWidth="1"/>
    <col min="532" max="532" width="26.28515625" style="2" customWidth="1"/>
    <col min="533" max="533" width="79.5703125" style="2" customWidth="1"/>
    <col min="534" max="534" width="16.42578125" style="2" customWidth="1"/>
    <col min="535" max="535" width="12" style="2" customWidth="1"/>
    <col min="536" max="536" width="2.42578125" style="2" customWidth="1"/>
    <col min="537" max="768" width="9.140625" style="2"/>
    <col min="769" max="769" width="10.42578125" style="2" customWidth="1"/>
    <col min="770" max="770" width="45.5703125" style="2" customWidth="1"/>
    <col min="771" max="771" width="5" style="2" customWidth="1"/>
    <col min="772" max="772" width="5.28515625" style="2" customWidth="1"/>
    <col min="773" max="773" width="13.7109375" style="2" customWidth="1"/>
    <col min="774" max="774" width="12.85546875" style="2" customWidth="1"/>
    <col min="775" max="775" width="13" style="2" customWidth="1"/>
    <col min="776" max="776" width="15.140625" style="2" customWidth="1"/>
    <col min="777" max="777" width="12.7109375" style="2" customWidth="1"/>
    <col min="778" max="778" width="10.28515625" style="2" customWidth="1"/>
    <col min="779" max="779" width="10.42578125" style="2" customWidth="1"/>
    <col min="780" max="780" width="13.7109375" style="2" customWidth="1"/>
    <col min="781" max="781" width="12" style="2" customWidth="1"/>
    <col min="782" max="783" width="12.28515625" style="2" customWidth="1"/>
    <col min="784" max="784" width="14.5703125" style="2" customWidth="1"/>
    <col min="785" max="786" width="13.7109375" style="2" customWidth="1"/>
    <col min="787" max="787" width="15.7109375" style="2" customWidth="1"/>
    <col min="788" max="788" width="26.28515625" style="2" customWidth="1"/>
    <col min="789" max="789" width="79.5703125" style="2" customWidth="1"/>
    <col min="790" max="790" width="16.42578125" style="2" customWidth="1"/>
    <col min="791" max="791" width="12" style="2" customWidth="1"/>
    <col min="792" max="792" width="2.42578125" style="2" customWidth="1"/>
    <col min="793" max="1024" width="9.140625" style="2"/>
    <col min="1025" max="1025" width="10.42578125" style="2" customWidth="1"/>
    <col min="1026" max="1026" width="45.5703125" style="2" customWidth="1"/>
    <col min="1027" max="1027" width="5" style="2" customWidth="1"/>
    <col min="1028" max="1028" width="5.28515625" style="2" customWidth="1"/>
    <col min="1029" max="1029" width="13.7109375" style="2" customWidth="1"/>
    <col min="1030" max="1030" width="12.85546875" style="2" customWidth="1"/>
    <col min="1031" max="1031" width="13" style="2" customWidth="1"/>
    <col min="1032" max="1032" width="15.140625" style="2" customWidth="1"/>
    <col min="1033" max="1033" width="12.7109375" style="2" customWidth="1"/>
    <col min="1034" max="1034" width="10.28515625" style="2" customWidth="1"/>
    <col min="1035" max="1035" width="10.42578125" style="2" customWidth="1"/>
    <col min="1036" max="1036" width="13.7109375" style="2" customWidth="1"/>
    <col min="1037" max="1037" width="12" style="2" customWidth="1"/>
    <col min="1038" max="1039" width="12.28515625" style="2" customWidth="1"/>
    <col min="1040" max="1040" width="14.5703125" style="2" customWidth="1"/>
    <col min="1041" max="1042" width="13.7109375" style="2" customWidth="1"/>
    <col min="1043" max="1043" width="15.7109375" style="2" customWidth="1"/>
    <col min="1044" max="1044" width="26.28515625" style="2" customWidth="1"/>
    <col min="1045" max="1045" width="79.5703125" style="2" customWidth="1"/>
    <col min="1046" max="1046" width="16.42578125" style="2" customWidth="1"/>
    <col min="1047" max="1047" width="12" style="2" customWidth="1"/>
    <col min="1048" max="1048" width="2.42578125" style="2" customWidth="1"/>
    <col min="1049" max="1280" width="9.140625" style="2"/>
    <col min="1281" max="1281" width="10.42578125" style="2" customWidth="1"/>
    <col min="1282" max="1282" width="45.5703125" style="2" customWidth="1"/>
    <col min="1283" max="1283" width="5" style="2" customWidth="1"/>
    <col min="1284" max="1284" width="5.28515625" style="2" customWidth="1"/>
    <col min="1285" max="1285" width="13.7109375" style="2" customWidth="1"/>
    <col min="1286" max="1286" width="12.85546875" style="2" customWidth="1"/>
    <col min="1287" max="1287" width="13" style="2" customWidth="1"/>
    <col min="1288" max="1288" width="15.140625" style="2" customWidth="1"/>
    <col min="1289" max="1289" width="12.7109375" style="2" customWidth="1"/>
    <col min="1290" max="1290" width="10.28515625" style="2" customWidth="1"/>
    <col min="1291" max="1291" width="10.42578125" style="2" customWidth="1"/>
    <col min="1292" max="1292" width="13.7109375" style="2" customWidth="1"/>
    <col min="1293" max="1293" width="12" style="2" customWidth="1"/>
    <col min="1294" max="1295" width="12.28515625" style="2" customWidth="1"/>
    <col min="1296" max="1296" width="14.5703125" style="2" customWidth="1"/>
    <col min="1297" max="1298" width="13.7109375" style="2" customWidth="1"/>
    <col min="1299" max="1299" width="15.7109375" style="2" customWidth="1"/>
    <col min="1300" max="1300" width="26.28515625" style="2" customWidth="1"/>
    <col min="1301" max="1301" width="79.5703125" style="2" customWidth="1"/>
    <col min="1302" max="1302" width="16.42578125" style="2" customWidth="1"/>
    <col min="1303" max="1303" width="12" style="2" customWidth="1"/>
    <col min="1304" max="1304" width="2.42578125" style="2" customWidth="1"/>
    <col min="1305" max="1536" width="9.140625" style="2"/>
    <col min="1537" max="1537" width="10.42578125" style="2" customWidth="1"/>
    <col min="1538" max="1538" width="45.5703125" style="2" customWidth="1"/>
    <col min="1539" max="1539" width="5" style="2" customWidth="1"/>
    <col min="1540" max="1540" width="5.28515625" style="2" customWidth="1"/>
    <col min="1541" max="1541" width="13.7109375" style="2" customWidth="1"/>
    <col min="1542" max="1542" width="12.85546875" style="2" customWidth="1"/>
    <col min="1543" max="1543" width="13" style="2" customWidth="1"/>
    <col min="1544" max="1544" width="15.140625" style="2" customWidth="1"/>
    <col min="1545" max="1545" width="12.7109375" style="2" customWidth="1"/>
    <col min="1546" max="1546" width="10.28515625" style="2" customWidth="1"/>
    <col min="1547" max="1547" width="10.42578125" style="2" customWidth="1"/>
    <col min="1548" max="1548" width="13.7109375" style="2" customWidth="1"/>
    <col min="1549" max="1549" width="12" style="2" customWidth="1"/>
    <col min="1550" max="1551" width="12.28515625" style="2" customWidth="1"/>
    <col min="1552" max="1552" width="14.5703125" style="2" customWidth="1"/>
    <col min="1553" max="1554" width="13.7109375" style="2" customWidth="1"/>
    <col min="1555" max="1555" width="15.7109375" style="2" customWidth="1"/>
    <col min="1556" max="1556" width="26.28515625" style="2" customWidth="1"/>
    <col min="1557" max="1557" width="79.5703125" style="2" customWidth="1"/>
    <col min="1558" max="1558" width="16.42578125" style="2" customWidth="1"/>
    <col min="1559" max="1559" width="12" style="2" customWidth="1"/>
    <col min="1560" max="1560" width="2.42578125" style="2" customWidth="1"/>
    <col min="1561" max="1792" width="9.140625" style="2"/>
    <col min="1793" max="1793" width="10.42578125" style="2" customWidth="1"/>
    <col min="1794" max="1794" width="45.5703125" style="2" customWidth="1"/>
    <col min="1795" max="1795" width="5" style="2" customWidth="1"/>
    <col min="1796" max="1796" width="5.28515625" style="2" customWidth="1"/>
    <col min="1797" max="1797" width="13.7109375" style="2" customWidth="1"/>
    <col min="1798" max="1798" width="12.85546875" style="2" customWidth="1"/>
    <col min="1799" max="1799" width="13" style="2" customWidth="1"/>
    <col min="1800" max="1800" width="15.140625" style="2" customWidth="1"/>
    <col min="1801" max="1801" width="12.7109375" style="2" customWidth="1"/>
    <col min="1802" max="1802" width="10.28515625" style="2" customWidth="1"/>
    <col min="1803" max="1803" width="10.42578125" style="2" customWidth="1"/>
    <col min="1804" max="1804" width="13.7109375" style="2" customWidth="1"/>
    <col min="1805" max="1805" width="12" style="2" customWidth="1"/>
    <col min="1806" max="1807" width="12.28515625" style="2" customWidth="1"/>
    <col min="1808" max="1808" width="14.5703125" style="2" customWidth="1"/>
    <col min="1809" max="1810" width="13.7109375" style="2" customWidth="1"/>
    <col min="1811" max="1811" width="15.7109375" style="2" customWidth="1"/>
    <col min="1812" max="1812" width="26.28515625" style="2" customWidth="1"/>
    <col min="1813" max="1813" width="79.5703125" style="2" customWidth="1"/>
    <col min="1814" max="1814" width="16.42578125" style="2" customWidth="1"/>
    <col min="1815" max="1815" width="12" style="2" customWidth="1"/>
    <col min="1816" max="1816" width="2.42578125" style="2" customWidth="1"/>
    <col min="1817" max="2048" width="9.140625" style="2"/>
    <col min="2049" max="2049" width="10.42578125" style="2" customWidth="1"/>
    <col min="2050" max="2050" width="45.5703125" style="2" customWidth="1"/>
    <col min="2051" max="2051" width="5" style="2" customWidth="1"/>
    <col min="2052" max="2052" width="5.28515625" style="2" customWidth="1"/>
    <col min="2053" max="2053" width="13.7109375" style="2" customWidth="1"/>
    <col min="2054" max="2054" width="12.85546875" style="2" customWidth="1"/>
    <col min="2055" max="2055" width="13" style="2" customWidth="1"/>
    <col min="2056" max="2056" width="15.140625" style="2" customWidth="1"/>
    <col min="2057" max="2057" width="12.7109375" style="2" customWidth="1"/>
    <col min="2058" max="2058" width="10.28515625" style="2" customWidth="1"/>
    <col min="2059" max="2059" width="10.42578125" style="2" customWidth="1"/>
    <col min="2060" max="2060" width="13.7109375" style="2" customWidth="1"/>
    <col min="2061" max="2061" width="12" style="2" customWidth="1"/>
    <col min="2062" max="2063" width="12.28515625" style="2" customWidth="1"/>
    <col min="2064" max="2064" width="14.5703125" style="2" customWidth="1"/>
    <col min="2065" max="2066" width="13.7109375" style="2" customWidth="1"/>
    <col min="2067" max="2067" width="15.7109375" style="2" customWidth="1"/>
    <col min="2068" max="2068" width="26.28515625" style="2" customWidth="1"/>
    <col min="2069" max="2069" width="79.5703125" style="2" customWidth="1"/>
    <col min="2070" max="2070" width="16.42578125" style="2" customWidth="1"/>
    <col min="2071" max="2071" width="12" style="2" customWidth="1"/>
    <col min="2072" max="2072" width="2.42578125" style="2" customWidth="1"/>
    <col min="2073" max="2304" width="9.140625" style="2"/>
    <col min="2305" max="2305" width="10.42578125" style="2" customWidth="1"/>
    <col min="2306" max="2306" width="45.5703125" style="2" customWidth="1"/>
    <col min="2307" max="2307" width="5" style="2" customWidth="1"/>
    <col min="2308" max="2308" width="5.28515625" style="2" customWidth="1"/>
    <col min="2309" max="2309" width="13.7109375" style="2" customWidth="1"/>
    <col min="2310" max="2310" width="12.85546875" style="2" customWidth="1"/>
    <col min="2311" max="2311" width="13" style="2" customWidth="1"/>
    <col min="2312" max="2312" width="15.140625" style="2" customWidth="1"/>
    <col min="2313" max="2313" width="12.7109375" style="2" customWidth="1"/>
    <col min="2314" max="2314" width="10.28515625" style="2" customWidth="1"/>
    <col min="2315" max="2315" width="10.42578125" style="2" customWidth="1"/>
    <col min="2316" max="2316" width="13.7109375" style="2" customWidth="1"/>
    <col min="2317" max="2317" width="12" style="2" customWidth="1"/>
    <col min="2318" max="2319" width="12.28515625" style="2" customWidth="1"/>
    <col min="2320" max="2320" width="14.5703125" style="2" customWidth="1"/>
    <col min="2321" max="2322" width="13.7109375" style="2" customWidth="1"/>
    <col min="2323" max="2323" width="15.7109375" style="2" customWidth="1"/>
    <col min="2324" max="2324" width="26.28515625" style="2" customWidth="1"/>
    <col min="2325" max="2325" width="79.5703125" style="2" customWidth="1"/>
    <col min="2326" max="2326" width="16.42578125" style="2" customWidth="1"/>
    <col min="2327" max="2327" width="12" style="2" customWidth="1"/>
    <col min="2328" max="2328" width="2.42578125" style="2" customWidth="1"/>
    <col min="2329" max="2560" width="9.140625" style="2"/>
    <col min="2561" max="2561" width="10.42578125" style="2" customWidth="1"/>
    <col min="2562" max="2562" width="45.5703125" style="2" customWidth="1"/>
    <col min="2563" max="2563" width="5" style="2" customWidth="1"/>
    <col min="2564" max="2564" width="5.28515625" style="2" customWidth="1"/>
    <col min="2565" max="2565" width="13.7109375" style="2" customWidth="1"/>
    <col min="2566" max="2566" width="12.85546875" style="2" customWidth="1"/>
    <col min="2567" max="2567" width="13" style="2" customWidth="1"/>
    <col min="2568" max="2568" width="15.140625" style="2" customWidth="1"/>
    <col min="2569" max="2569" width="12.7109375" style="2" customWidth="1"/>
    <col min="2570" max="2570" width="10.28515625" style="2" customWidth="1"/>
    <col min="2571" max="2571" width="10.42578125" style="2" customWidth="1"/>
    <col min="2572" max="2572" width="13.7109375" style="2" customWidth="1"/>
    <col min="2573" max="2573" width="12" style="2" customWidth="1"/>
    <col min="2574" max="2575" width="12.28515625" style="2" customWidth="1"/>
    <col min="2576" max="2576" width="14.5703125" style="2" customWidth="1"/>
    <col min="2577" max="2578" width="13.7109375" style="2" customWidth="1"/>
    <col min="2579" max="2579" width="15.7109375" style="2" customWidth="1"/>
    <col min="2580" max="2580" width="26.28515625" style="2" customWidth="1"/>
    <col min="2581" max="2581" width="79.5703125" style="2" customWidth="1"/>
    <col min="2582" max="2582" width="16.42578125" style="2" customWidth="1"/>
    <col min="2583" max="2583" width="12" style="2" customWidth="1"/>
    <col min="2584" max="2584" width="2.42578125" style="2" customWidth="1"/>
    <col min="2585" max="2816" width="9.140625" style="2"/>
    <col min="2817" max="2817" width="10.42578125" style="2" customWidth="1"/>
    <col min="2818" max="2818" width="45.5703125" style="2" customWidth="1"/>
    <col min="2819" max="2819" width="5" style="2" customWidth="1"/>
    <col min="2820" max="2820" width="5.28515625" style="2" customWidth="1"/>
    <col min="2821" max="2821" width="13.7109375" style="2" customWidth="1"/>
    <col min="2822" max="2822" width="12.85546875" style="2" customWidth="1"/>
    <col min="2823" max="2823" width="13" style="2" customWidth="1"/>
    <col min="2824" max="2824" width="15.140625" style="2" customWidth="1"/>
    <col min="2825" max="2825" width="12.7109375" style="2" customWidth="1"/>
    <col min="2826" max="2826" width="10.28515625" style="2" customWidth="1"/>
    <col min="2827" max="2827" width="10.42578125" style="2" customWidth="1"/>
    <col min="2828" max="2828" width="13.7109375" style="2" customWidth="1"/>
    <col min="2829" max="2829" width="12" style="2" customWidth="1"/>
    <col min="2830" max="2831" width="12.28515625" style="2" customWidth="1"/>
    <col min="2832" max="2832" width="14.5703125" style="2" customWidth="1"/>
    <col min="2833" max="2834" width="13.7109375" style="2" customWidth="1"/>
    <col min="2835" max="2835" width="15.7109375" style="2" customWidth="1"/>
    <col min="2836" max="2836" width="26.28515625" style="2" customWidth="1"/>
    <col min="2837" max="2837" width="79.5703125" style="2" customWidth="1"/>
    <col min="2838" max="2838" width="16.42578125" style="2" customWidth="1"/>
    <col min="2839" max="2839" width="12" style="2" customWidth="1"/>
    <col min="2840" max="2840" width="2.42578125" style="2" customWidth="1"/>
    <col min="2841" max="3072" width="9.140625" style="2"/>
    <col min="3073" max="3073" width="10.42578125" style="2" customWidth="1"/>
    <col min="3074" max="3074" width="45.5703125" style="2" customWidth="1"/>
    <col min="3075" max="3075" width="5" style="2" customWidth="1"/>
    <col min="3076" max="3076" width="5.28515625" style="2" customWidth="1"/>
    <col min="3077" max="3077" width="13.7109375" style="2" customWidth="1"/>
    <col min="3078" max="3078" width="12.85546875" style="2" customWidth="1"/>
    <col min="3079" max="3079" width="13" style="2" customWidth="1"/>
    <col min="3080" max="3080" width="15.140625" style="2" customWidth="1"/>
    <col min="3081" max="3081" width="12.7109375" style="2" customWidth="1"/>
    <col min="3082" max="3082" width="10.28515625" style="2" customWidth="1"/>
    <col min="3083" max="3083" width="10.42578125" style="2" customWidth="1"/>
    <col min="3084" max="3084" width="13.7109375" style="2" customWidth="1"/>
    <col min="3085" max="3085" width="12" style="2" customWidth="1"/>
    <col min="3086" max="3087" width="12.28515625" style="2" customWidth="1"/>
    <col min="3088" max="3088" width="14.5703125" style="2" customWidth="1"/>
    <col min="3089" max="3090" width="13.7109375" style="2" customWidth="1"/>
    <col min="3091" max="3091" width="15.7109375" style="2" customWidth="1"/>
    <col min="3092" max="3092" width="26.28515625" style="2" customWidth="1"/>
    <col min="3093" max="3093" width="79.5703125" style="2" customWidth="1"/>
    <col min="3094" max="3094" width="16.42578125" style="2" customWidth="1"/>
    <col min="3095" max="3095" width="12" style="2" customWidth="1"/>
    <col min="3096" max="3096" width="2.42578125" style="2" customWidth="1"/>
    <col min="3097" max="3328" width="9.140625" style="2"/>
    <col min="3329" max="3329" width="10.42578125" style="2" customWidth="1"/>
    <col min="3330" max="3330" width="45.5703125" style="2" customWidth="1"/>
    <col min="3331" max="3331" width="5" style="2" customWidth="1"/>
    <col min="3332" max="3332" width="5.28515625" style="2" customWidth="1"/>
    <col min="3333" max="3333" width="13.7109375" style="2" customWidth="1"/>
    <col min="3334" max="3334" width="12.85546875" style="2" customWidth="1"/>
    <col min="3335" max="3335" width="13" style="2" customWidth="1"/>
    <col min="3336" max="3336" width="15.140625" style="2" customWidth="1"/>
    <col min="3337" max="3337" width="12.7109375" style="2" customWidth="1"/>
    <col min="3338" max="3338" width="10.28515625" style="2" customWidth="1"/>
    <col min="3339" max="3339" width="10.42578125" style="2" customWidth="1"/>
    <col min="3340" max="3340" width="13.7109375" style="2" customWidth="1"/>
    <col min="3341" max="3341" width="12" style="2" customWidth="1"/>
    <col min="3342" max="3343" width="12.28515625" style="2" customWidth="1"/>
    <col min="3344" max="3344" width="14.5703125" style="2" customWidth="1"/>
    <col min="3345" max="3346" width="13.7109375" style="2" customWidth="1"/>
    <col min="3347" max="3347" width="15.7109375" style="2" customWidth="1"/>
    <col min="3348" max="3348" width="26.28515625" style="2" customWidth="1"/>
    <col min="3349" max="3349" width="79.5703125" style="2" customWidth="1"/>
    <col min="3350" max="3350" width="16.42578125" style="2" customWidth="1"/>
    <col min="3351" max="3351" width="12" style="2" customWidth="1"/>
    <col min="3352" max="3352" width="2.42578125" style="2" customWidth="1"/>
    <col min="3353" max="3584" width="9.140625" style="2"/>
    <col min="3585" max="3585" width="10.42578125" style="2" customWidth="1"/>
    <col min="3586" max="3586" width="45.5703125" style="2" customWidth="1"/>
    <col min="3587" max="3587" width="5" style="2" customWidth="1"/>
    <col min="3588" max="3588" width="5.28515625" style="2" customWidth="1"/>
    <col min="3589" max="3589" width="13.7109375" style="2" customWidth="1"/>
    <col min="3590" max="3590" width="12.85546875" style="2" customWidth="1"/>
    <col min="3591" max="3591" width="13" style="2" customWidth="1"/>
    <col min="3592" max="3592" width="15.140625" style="2" customWidth="1"/>
    <col min="3593" max="3593" width="12.7109375" style="2" customWidth="1"/>
    <col min="3594" max="3594" width="10.28515625" style="2" customWidth="1"/>
    <col min="3595" max="3595" width="10.42578125" style="2" customWidth="1"/>
    <col min="3596" max="3596" width="13.7109375" style="2" customWidth="1"/>
    <col min="3597" max="3597" width="12" style="2" customWidth="1"/>
    <col min="3598" max="3599" width="12.28515625" style="2" customWidth="1"/>
    <col min="3600" max="3600" width="14.5703125" style="2" customWidth="1"/>
    <col min="3601" max="3602" width="13.7109375" style="2" customWidth="1"/>
    <col min="3603" max="3603" width="15.7109375" style="2" customWidth="1"/>
    <col min="3604" max="3604" width="26.28515625" style="2" customWidth="1"/>
    <col min="3605" max="3605" width="79.5703125" style="2" customWidth="1"/>
    <col min="3606" max="3606" width="16.42578125" style="2" customWidth="1"/>
    <col min="3607" max="3607" width="12" style="2" customWidth="1"/>
    <col min="3608" max="3608" width="2.42578125" style="2" customWidth="1"/>
    <col min="3609" max="3840" width="9.140625" style="2"/>
    <col min="3841" max="3841" width="10.42578125" style="2" customWidth="1"/>
    <col min="3842" max="3842" width="45.5703125" style="2" customWidth="1"/>
    <col min="3843" max="3843" width="5" style="2" customWidth="1"/>
    <col min="3844" max="3844" width="5.28515625" style="2" customWidth="1"/>
    <col min="3845" max="3845" width="13.7109375" style="2" customWidth="1"/>
    <col min="3846" max="3846" width="12.85546875" style="2" customWidth="1"/>
    <col min="3847" max="3847" width="13" style="2" customWidth="1"/>
    <col min="3848" max="3848" width="15.140625" style="2" customWidth="1"/>
    <col min="3849" max="3849" width="12.7109375" style="2" customWidth="1"/>
    <col min="3850" max="3850" width="10.28515625" style="2" customWidth="1"/>
    <col min="3851" max="3851" width="10.42578125" style="2" customWidth="1"/>
    <col min="3852" max="3852" width="13.7109375" style="2" customWidth="1"/>
    <col min="3853" max="3853" width="12" style="2" customWidth="1"/>
    <col min="3854" max="3855" width="12.28515625" style="2" customWidth="1"/>
    <col min="3856" max="3856" width="14.5703125" style="2" customWidth="1"/>
    <col min="3857" max="3858" width="13.7109375" style="2" customWidth="1"/>
    <col min="3859" max="3859" width="15.7109375" style="2" customWidth="1"/>
    <col min="3860" max="3860" width="26.28515625" style="2" customWidth="1"/>
    <col min="3861" max="3861" width="79.5703125" style="2" customWidth="1"/>
    <col min="3862" max="3862" width="16.42578125" style="2" customWidth="1"/>
    <col min="3863" max="3863" width="12" style="2" customWidth="1"/>
    <col min="3864" max="3864" width="2.42578125" style="2" customWidth="1"/>
    <col min="3865" max="4096" width="9.140625" style="2"/>
    <col min="4097" max="4097" width="10.42578125" style="2" customWidth="1"/>
    <col min="4098" max="4098" width="45.5703125" style="2" customWidth="1"/>
    <col min="4099" max="4099" width="5" style="2" customWidth="1"/>
    <col min="4100" max="4100" width="5.28515625" style="2" customWidth="1"/>
    <col min="4101" max="4101" width="13.7109375" style="2" customWidth="1"/>
    <col min="4102" max="4102" width="12.85546875" style="2" customWidth="1"/>
    <col min="4103" max="4103" width="13" style="2" customWidth="1"/>
    <col min="4104" max="4104" width="15.140625" style="2" customWidth="1"/>
    <col min="4105" max="4105" width="12.7109375" style="2" customWidth="1"/>
    <col min="4106" max="4106" width="10.28515625" style="2" customWidth="1"/>
    <col min="4107" max="4107" width="10.42578125" style="2" customWidth="1"/>
    <col min="4108" max="4108" width="13.7109375" style="2" customWidth="1"/>
    <col min="4109" max="4109" width="12" style="2" customWidth="1"/>
    <col min="4110" max="4111" width="12.28515625" style="2" customWidth="1"/>
    <col min="4112" max="4112" width="14.5703125" style="2" customWidth="1"/>
    <col min="4113" max="4114" width="13.7109375" style="2" customWidth="1"/>
    <col min="4115" max="4115" width="15.7109375" style="2" customWidth="1"/>
    <col min="4116" max="4116" width="26.28515625" style="2" customWidth="1"/>
    <col min="4117" max="4117" width="79.5703125" style="2" customWidth="1"/>
    <col min="4118" max="4118" width="16.42578125" style="2" customWidth="1"/>
    <col min="4119" max="4119" width="12" style="2" customWidth="1"/>
    <col min="4120" max="4120" width="2.42578125" style="2" customWidth="1"/>
    <col min="4121" max="4352" width="9.140625" style="2"/>
    <col min="4353" max="4353" width="10.42578125" style="2" customWidth="1"/>
    <col min="4354" max="4354" width="45.5703125" style="2" customWidth="1"/>
    <col min="4355" max="4355" width="5" style="2" customWidth="1"/>
    <col min="4356" max="4356" width="5.28515625" style="2" customWidth="1"/>
    <col min="4357" max="4357" width="13.7109375" style="2" customWidth="1"/>
    <col min="4358" max="4358" width="12.85546875" style="2" customWidth="1"/>
    <col min="4359" max="4359" width="13" style="2" customWidth="1"/>
    <col min="4360" max="4360" width="15.140625" style="2" customWidth="1"/>
    <col min="4361" max="4361" width="12.7109375" style="2" customWidth="1"/>
    <col min="4362" max="4362" width="10.28515625" style="2" customWidth="1"/>
    <col min="4363" max="4363" width="10.42578125" style="2" customWidth="1"/>
    <col min="4364" max="4364" width="13.7109375" style="2" customWidth="1"/>
    <col min="4365" max="4365" width="12" style="2" customWidth="1"/>
    <col min="4366" max="4367" width="12.28515625" style="2" customWidth="1"/>
    <col min="4368" max="4368" width="14.5703125" style="2" customWidth="1"/>
    <col min="4369" max="4370" width="13.7109375" style="2" customWidth="1"/>
    <col min="4371" max="4371" width="15.7109375" style="2" customWidth="1"/>
    <col min="4372" max="4372" width="26.28515625" style="2" customWidth="1"/>
    <col min="4373" max="4373" width="79.5703125" style="2" customWidth="1"/>
    <col min="4374" max="4374" width="16.42578125" style="2" customWidth="1"/>
    <col min="4375" max="4375" width="12" style="2" customWidth="1"/>
    <col min="4376" max="4376" width="2.42578125" style="2" customWidth="1"/>
    <col min="4377" max="4608" width="9.140625" style="2"/>
    <col min="4609" max="4609" width="10.42578125" style="2" customWidth="1"/>
    <col min="4610" max="4610" width="45.5703125" style="2" customWidth="1"/>
    <col min="4611" max="4611" width="5" style="2" customWidth="1"/>
    <col min="4612" max="4612" width="5.28515625" style="2" customWidth="1"/>
    <col min="4613" max="4613" width="13.7109375" style="2" customWidth="1"/>
    <col min="4614" max="4614" width="12.85546875" style="2" customWidth="1"/>
    <col min="4615" max="4615" width="13" style="2" customWidth="1"/>
    <col min="4616" max="4616" width="15.140625" style="2" customWidth="1"/>
    <col min="4617" max="4617" width="12.7109375" style="2" customWidth="1"/>
    <col min="4618" max="4618" width="10.28515625" style="2" customWidth="1"/>
    <col min="4619" max="4619" width="10.42578125" style="2" customWidth="1"/>
    <col min="4620" max="4620" width="13.7109375" style="2" customWidth="1"/>
    <col min="4621" max="4621" width="12" style="2" customWidth="1"/>
    <col min="4622" max="4623" width="12.28515625" style="2" customWidth="1"/>
    <col min="4624" max="4624" width="14.5703125" style="2" customWidth="1"/>
    <col min="4625" max="4626" width="13.7109375" style="2" customWidth="1"/>
    <col min="4627" max="4627" width="15.7109375" style="2" customWidth="1"/>
    <col min="4628" max="4628" width="26.28515625" style="2" customWidth="1"/>
    <col min="4629" max="4629" width="79.5703125" style="2" customWidth="1"/>
    <col min="4630" max="4630" width="16.42578125" style="2" customWidth="1"/>
    <col min="4631" max="4631" width="12" style="2" customWidth="1"/>
    <col min="4632" max="4632" width="2.42578125" style="2" customWidth="1"/>
    <col min="4633" max="4864" width="9.140625" style="2"/>
    <col min="4865" max="4865" width="10.42578125" style="2" customWidth="1"/>
    <col min="4866" max="4866" width="45.5703125" style="2" customWidth="1"/>
    <col min="4867" max="4867" width="5" style="2" customWidth="1"/>
    <col min="4868" max="4868" width="5.28515625" style="2" customWidth="1"/>
    <col min="4869" max="4869" width="13.7109375" style="2" customWidth="1"/>
    <col min="4870" max="4870" width="12.85546875" style="2" customWidth="1"/>
    <col min="4871" max="4871" width="13" style="2" customWidth="1"/>
    <col min="4872" max="4872" width="15.140625" style="2" customWidth="1"/>
    <col min="4873" max="4873" width="12.7109375" style="2" customWidth="1"/>
    <col min="4874" max="4874" width="10.28515625" style="2" customWidth="1"/>
    <col min="4875" max="4875" width="10.42578125" style="2" customWidth="1"/>
    <col min="4876" max="4876" width="13.7109375" style="2" customWidth="1"/>
    <col min="4877" max="4877" width="12" style="2" customWidth="1"/>
    <col min="4878" max="4879" width="12.28515625" style="2" customWidth="1"/>
    <col min="4880" max="4880" width="14.5703125" style="2" customWidth="1"/>
    <col min="4881" max="4882" width="13.7109375" style="2" customWidth="1"/>
    <col min="4883" max="4883" width="15.7109375" style="2" customWidth="1"/>
    <col min="4884" max="4884" width="26.28515625" style="2" customWidth="1"/>
    <col min="4885" max="4885" width="79.5703125" style="2" customWidth="1"/>
    <col min="4886" max="4886" width="16.42578125" style="2" customWidth="1"/>
    <col min="4887" max="4887" width="12" style="2" customWidth="1"/>
    <col min="4888" max="4888" width="2.42578125" style="2" customWidth="1"/>
    <col min="4889" max="5120" width="9.140625" style="2"/>
    <col min="5121" max="5121" width="10.42578125" style="2" customWidth="1"/>
    <col min="5122" max="5122" width="45.5703125" style="2" customWidth="1"/>
    <col min="5123" max="5123" width="5" style="2" customWidth="1"/>
    <col min="5124" max="5124" width="5.28515625" style="2" customWidth="1"/>
    <col min="5125" max="5125" width="13.7109375" style="2" customWidth="1"/>
    <col min="5126" max="5126" width="12.85546875" style="2" customWidth="1"/>
    <col min="5127" max="5127" width="13" style="2" customWidth="1"/>
    <col min="5128" max="5128" width="15.140625" style="2" customWidth="1"/>
    <col min="5129" max="5129" width="12.7109375" style="2" customWidth="1"/>
    <col min="5130" max="5130" width="10.28515625" style="2" customWidth="1"/>
    <col min="5131" max="5131" width="10.42578125" style="2" customWidth="1"/>
    <col min="5132" max="5132" width="13.7109375" style="2" customWidth="1"/>
    <col min="5133" max="5133" width="12" style="2" customWidth="1"/>
    <col min="5134" max="5135" width="12.28515625" style="2" customWidth="1"/>
    <col min="5136" max="5136" width="14.5703125" style="2" customWidth="1"/>
    <col min="5137" max="5138" width="13.7109375" style="2" customWidth="1"/>
    <col min="5139" max="5139" width="15.7109375" style="2" customWidth="1"/>
    <col min="5140" max="5140" width="26.28515625" style="2" customWidth="1"/>
    <col min="5141" max="5141" width="79.5703125" style="2" customWidth="1"/>
    <col min="5142" max="5142" width="16.42578125" style="2" customWidth="1"/>
    <col min="5143" max="5143" width="12" style="2" customWidth="1"/>
    <col min="5144" max="5144" width="2.42578125" style="2" customWidth="1"/>
    <col min="5145" max="5376" width="9.140625" style="2"/>
    <col min="5377" max="5377" width="10.42578125" style="2" customWidth="1"/>
    <col min="5378" max="5378" width="45.5703125" style="2" customWidth="1"/>
    <col min="5379" max="5379" width="5" style="2" customWidth="1"/>
    <col min="5380" max="5380" width="5.28515625" style="2" customWidth="1"/>
    <col min="5381" max="5381" width="13.7109375" style="2" customWidth="1"/>
    <col min="5382" max="5382" width="12.85546875" style="2" customWidth="1"/>
    <col min="5383" max="5383" width="13" style="2" customWidth="1"/>
    <col min="5384" max="5384" width="15.140625" style="2" customWidth="1"/>
    <col min="5385" max="5385" width="12.7109375" style="2" customWidth="1"/>
    <col min="5386" max="5386" width="10.28515625" style="2" customWidth="1"/>
    <col min="5387" max="5387" width="10.42578125" style="2" customWidth="1"/>
    <col min="5388" max="5388" width="13.7109375" style="2" customWidth="1"/>
    <col min="5389" max="5389" width="12" style="2" customWidth="1"/>
    <col min="5390" max="5391" width="12.28515625" style="2" customWidth="1"/>
    <col min="5392" max="5392" width="14.5703125" style="2" customWidth="1"/>
    <col min="5393" max="5394" width="13.7109375" style="2" customWidth="1"/>
    <col min="5395" max="5395" width="15.7109375" style="2" customWidth="1"/>
    <col min="5396" max="5396" width="26.28515625" style="2" customWidth="1"/>
    <col min="5397" max="5397" width="79.5703125" style="2" customWidth="1"/>
    <col min="5398" max="5398" width="16.42578125" style="2" customWidth="1"/>
    <col min="5399" max="5399" width="12" style="2" customWidth="1"/>
    <col min="5400" max="5400" width="2.42578125" style="2" customWidth="1"/>
    <col min="5401" max="5632" width="9.140625" style="2"/>
    <col min="5633" max="5633" width="10.42578125" style="2" customWidth="1"/>
    <col min="5634" max="5634" width="45.5703125" style="2" customWidth="1"/>
    <col min="5635" max="5635" width="5" style="2" customWidth="1"/>
    <col min="5636" max="5636" width="5.28515625" style="2" customWidth="1"/>
    <col min="5637" max="5637" width="13.7109375" style="2" customWidth="1"/>
    <col min="5638" max="5638" width="12.85546875" style="2" customWidth="1"/>
    <col min="5639" max="5639" width="13" style="2" customWidth="1"/>
    <col min="5640" max="5640" width="15.140625" style="2" customWidth="1"/>
    <col min="5641" max="5641" width="12.7109375" style="2" customWidth="1"/>
    <col min="5642" max="5642" width="10.28515625" style="2" customWidth="1"/>
    <col min="5643" max="5643" width="10.42578125" style="2" customWidth="1"/>
    <col min="5644" max="5644" width="13.7109375" style="2" customWidth="1"/>
    <col min="5645" max="5645" width="12" style="2" customWidth="1"/>
    <col min="5646" max="5647" width="12.28515625" style="2" customWidth="1"/>
    <col min="5648" max="5648" width="14.5703125" style="2" customWidth="1"/>
    <col min="5649" max="5650" width="13.7109375" style="2" customWidth="1"/>
    <col min="5651" max="5651" width="15.7109375" style="2" customWidth="1"/>
    <col min="5652" max="5652" width="26.28515625" style="2" customWidth="1"/>
    <col min="5653" max="5653" width="79.5703125" style="2" customWidth="1"/>
    <col min="5654" max="5654" width="16.42578125" style="2" customWidth="1"/>
    <col min="5655" max="5655" width="12" style="2" customWidth="1"/>
    <col min="5656" max="5656" width="2.42578125" style="2" customWidth="1"/>
    <col min="5657" max="5888" width="9.140625" style="2"/>
    <col min="5889" max="5889" width="10.42578125" style="2" customWidth="1"/>
    <col min="5890" max="5890" width="45.5703125" style="2" customWidth="1"/>
    <col min="5891" max="5891" width="5" style="2" customWidth="1"/>
    <col min="5892" max="5892" width="5.28515625" style="2" customWidth="1"/>
    <col min="5893" max="5893" width="13.7109375" style="2" customWidth="1"/>
    <col min="5894" max="5894" width="12.85546875" style="2" customWidth="1"/>
    <col min="5895" max="5895" width="13" style="2" customWidth="1"/>
    <col min="5896" max="5896" width="15.140625" style="2" customWidth="1"/>
    <col min="5897" max="5897" width="12.7109375" style="2" customWidth="1"/>
    <col min="5898" max="5898" width="10.28515625" style="2" customWidth="1"/>
    <col min="5899" max="5899" width="10.42578125" style="2" customWidth="1"/>
    <col min="5900" max="5900" width="13.7109375" style="2" customWidth="1"/>
    <col min="5901" max="5901" width="12" style="2" customWidth="1"/>
    <col min="5902" max="5903" width="12.28515625" style="2" customWidth="1"/>
    <col min="5904" max="5904" width="14.5703125" style="2" customWidth="1"/>
    <col min="5905" max="5906" width="13.7109375" style="2" customWidth="1"/>
    <col min="5907" max="5907" width="15.7109375" style="2" customWidth="1"/>
    <col min="5908" max="5908" width="26.28515625" style="2" customWidth="1"/>
    <col min="5909" max="5909" width="79.5703125" style="2" customWidth="1"/>
    <col min="5910" max="5910" width="16.42578125" style="2" customWidth="1"/>
    <col min="5911" max="5911" width="12" style="2" customWidth="1"/>
    <col min="5912" max="5912" width="2.42578125" style="2" customWidth="1"/>
    <col min="5913" max="6144" width="9.140625" style="2"/>
    <col min="6145" max="6145" width="10.42578125" style="2" customWidth="1"/>
    <col min="6146" max="6146" width="45.5703125" style="2" customWidth="1"/>
    <col min="6147" max="6147" width="5" style="2" customWidth="1"/>
    <col min="6148" max="6148" width="5.28515625" style="2" customWidth="1"/>
    <col min="6149" max="6149" width="13.7109375" style="2" customWidth="1"/>
    <col min="6150" max="6150" width="12.85546875" style="2" customWidth="1"/>
    <col min="6151" max="6151" width="13" style="2" customWidth="1"/>
    <col min="6152" max="6152" width="15.140625" style="2" customWidth="1"/>
    <col min="6153" max="6153" width="12.7109375" style="2" customWidth="1"/>
    <col min="6154" max="6154" width="10.28515625" style="2" customWidth="1"/>
    <col min="6155" max="6155" width="10.42578125" style="2" customWidth="1"/>
    <col min="6156" max="6156" width="13.7109375" style="2" customWidth="1"/>
    <col min="6157" max="6157" width="12" style="2" customWidth="1"/>
    <col min="6158" max="6159" width="12.28515625" style="2" customWidth="1"/>
    <col min="6160" max="6160" width="14.5703125" style="2" customWidth="1"/>
    <col min="6161" max="6162" width="13.7109375" style="2" customWidth="1"/>
    <col min="6163" max="6163" width="15.7109375" style="2" customWidth="1"/>
    <col min="6164" max="6164" width="26.28515625" style="2" customWidth="1"/>
    <col min="6165" max="6165" width="79.5703125" style="2" customWidth="1"/>
    <col min="6166" max="6166" width="16.42578125" style="2" customWidth="1"/>
    <col min="6167" max="6167" width="12" style="2" customWidth="1"/>
    <col min="6168" max="6168" width="2.42578125" style="2" customWidth="1"/>
    <col min="6169" max="6400" width="9.140625" style="2"/>
    <col min="6401" max="6401" width="10.42578125" style="2" customWidth="1"/>
    <col min="6402" max="6402" width="45.5703125" style="2" customWidth="1"/>
    <col min="6403" max="6403" width="5" style="2" customWidth="1"/>
    <col min="6404" max="6404" width="5.28515625" style="2" customWidth="1"/>
    <col min="6405" max="6405" width="13.7109375" style="2" customWidth="1"/>
    <col min="6406" max="6406" width="12.85546875" style="2" customWidth="1"/>
    <col min="6407" max="6407" width="13" style="2" customWidth="1"/>
    <col min="6408" max="6408" width="15.140625" style="2" customWidth="1"/>
    <col min="6409" max="6409" width="12.7109375" style="2" customWidth="1"/>
    <col min="6410" max="6410" width="10.28515625" style="2" customWidth="1"/>
    <col min="6411" max="6411" width="10.42578125" style="2" customWidth="1"/>
    <col min="6412" max="6412" width="13.7109375" style="2" customWidth="1"/>
    <col min="6413" max="6413" width="12" style="2" customWidth="1"/>
    <col min="6414" max="6415" width="12.28515625" style="2" customWidth="1"/>
    <col min="6416" max="6416" width="14.5703125" style="2" customWidth="1"/>
    <col min="6417" max="6418" width="13.7109375" style="2" customWidth="1"/>
    <col min="6419" max="6419" width="15.7109375" style="2" customWidth="1"/>
    <col min="6420" max="6420" width="26.28515625" style="2" customWidth="1"/>
    <col min="6421" max="6421" width="79.5703125" style="2" customWidth="1"/>
    <col min="6422" max="6422" width="16.42578125" style="2" customWidth="1"/>
    <col min="6423" max="6423" width="12" style="2" customWidth="1"/>
    <col min="6424" max="6424" width="2.42578125" style="2" customWidth="1"/>
    <col min="6425" max="6656" width="9.140625" style="2"/>
    <col min="6657" max="6657" width="10.42578125" style="2" customWidth="1"/>
    <col min="6658" max="6658" width="45.5703125" style="2" customWidth="1"/>
    <col min="6659" max="6659" width="5" style="2" customWidth="1"/>
    <col min="6660" max="6660" width="5.28515625" style="2" customWidth="1"/>
    <col min="6661" max="6661" width="13.7109375" style="2" customWidth="1"/>
    <col min="6662" max="6662" width="12.85546875" style="2" customWidth="1"/>
    <col min="6663" max="6663" width="13" style="2" customWidth="1"/>
    <col min="6664" max="6664" width="15.140625" style="2" customWidth="1"/>
    <col min="6665" max="6665" width="12.7109375" style="2" customWidth="1"/>
    <col min="6666" max="6666" width="10.28515625" style="2" customWidth="1"/>
    <col min="6667" max="6667" width="10.42578125" style="2" customWidth="1"/>
    <col min="6668" max="6668" width="13.7109375" style="2" customWidth="1"/>
    <col min="6669" max="6669" width="12" style="2" customWidth="1"/>
    <col min="6670" max="6671" width="12.28515625" style="2" customWidth="1"/>
    <col min="6672" max="6672" width="14.5703125" style="2" customWidth="1"/>
    <col min="6673" max="6674" width="13.7109375" style="2" customWidth="1"/>
    <col min="6675" max="6675" width="15.7109375" style="2" customWidth="1"/>
    <col min="6676" max="6676" width="26.28515625" style="2" customWidth="1"/>
    <col min="6677" max="6677" width="79.5703125" style="2" customWidth="1"/>
    <col min="6678" max="6678" width="16.42578125" style="2" customWidth="1"/>
    <col min="6679" max="6679" width="12" style="2" customWidth="1"/>
    <col min="6680" max="6680" width="2.42578125" style="2" customWidth="1"/>
    <col min="6681" max="6912" width="9.140625" style="2"/>
    <col min="6913" max="6913" width="10.42578125" style="2" customWidth="1"/>
    <col min="6914" max="6914" width="45.5703125" style="2" customWidth="1"/>
    <col min="6915" max="6915" width="5" style="2" customWidth="1"/>
    <col min="6916" max="6916" width="5.28515625" style="2" customWidth="1"/>
    <col min="6917" max="6917" width="13.7109375" style="2" customWidth="1"/>
    <col min="6918" max="6918" width="12.85546875" style="2" customWidth="1"/>
    <col min="6919" max="6919" width="13" style="2" customWidth="1"/>
    <col min="6920" max="6920" width="15.140625" style="2" customWidth="1"/>
    <col min="6921" max="6921" width="12.7109375" style="2" customWidth="1"/>
    <col min="6922" max="6922" width="10.28515625" style="2" customWidth="1"/>
    <col min="6923" max="6923" width="10.42578125" style="2" customWidth="1"/>
    <col min="6924" max="6924" width="13.7109375" style="2" customWidth="1"/>
    <col min="6925" max="6925" width="12" style="2" customWidth="1"/>
    <col min="6926" max="6927" width="12.28515625" style="2" customWidth="1"/>
    <col min="6928" max="6928" width="14.5703125" style="2" customWidth="1"/>
    <col min="6929" max="6930" width="13.7109375" style="2" customWidth="1"/>
    <col min="6931" max="6931" width="15.7109375" style="2" customWidth="1"/>
    <col min="6932" max="6932" width="26.28515625" style="2" customWidth="1"/>
    <col min="6933" max="6933" width="79.5703125" style="2" customWidth="1"/>
    <col min="6934" max="6934" width="16.42578125" style="2" customWidth="1"/>
    <col min="6935" max="6935" width="12" style="2" customWidth="1"/>
    <col min="6936" max="6936" width="2.42578125" style="2" customWidth="1"/>
    <col min="6937" max="7168" width="9.140625" style="2"/>
    <col min="7169" max="7169" width="10.42578125" style="2" customWidth="1"/>
    <col min="7170" max="7170" width="45.5703125" style="2" customWidth="1"/>
    <col min="7171" max="7171" width="5" style="2" customWidth="1"/>
    <col min="7172" max="7172" width="5.28515625" style="2" customWidth="1"/>
    <col min="7173" max="7173" width="13.7109375" style="2" customWidth="1"/>
    <col min="7174" max="7174" width="12.85546875" style="2" customWidth="1"/>
    <col min="7175" max="7175" width="13" style="2" customWidth="1"/>
    <col min="7176" max="7176" width="15.140625" style="2" customWidth="1"/>
    <col min="7177" max="7177" width="12.7109375" style="2" customWidth="1"/>
    <col min="7178" max="7178" width="10.28515625" style="2" customWidth="1"/>
    <col min="7179" max="7179" width="10.42578125" style="2" customWidth="1"/>
    <col min="7180" max="7180" width="13.7109375" style="2" customWidth="1"/>
    <col min="7181" max="7181" width="12" style="2" customWidth="1"/>
    <col min="7182" max="7183" width="12.28515625" style="2" customWidth="1"/>
    <col min="7184" max="7184" width="14.5703125" style="2" customWidth="1"/>
    <col min="7185" max="7186" width="13.7109375" style="2" customWidth="1"/>
    <col min="7187" max="7187" width="15.7109375" style="2" customWidth="1"/>
    <col min="7188" max="7188" width="26.28515625" style="2" customWidth="1"/>
    <col min="7189" max="7189" width="79.5703125" style="2" customWidth="1"/>
    <col min="7190" max="7190" width="16.42578125" style="2" customWidth="1"/>
    <col min="7191" max="7191" width="12" style="2" customWidth="1"/>
    <col min="7192" max="7192" width="2.42578125" style="2" customWidth="1"/>
    <col min="7193" max="7424" width="9.140625" style="2"/>
    <col min="7425" max="7425" width="10.42578125" style="2" customWidth="1"/>
    <col min="7426" max="7426" width="45.5703125" style="2" customWidth="1"/>
    <col min="7427" max="7427" width="5" style="2" customWidth="1"/>
    <col min="7428" max="7428" width="5.28515625" style="2" customWidth="1"/>
    <col min="7429" max="7429" width="13.7109375" style="2" customWidth="1"/>
    <col min="7430" max="7430" width="12.85546875" style="2" customWidth="1"/>
    <col min="7431" max="7431" width="13" style="2" customWidth="1"/>
    <col min="7432" max="7432" width="15.140625" style="2" customWidth="1"/>
    <col min="7433" max="7433" width="12.7109375" style="2" customWidth="1"/>
    <col min="7434" max="7434" width="10.28515625" style="2" customWidth="1"/>
    <col min="7435" max="7435" width="10.42578125" style="2" customWidth="1"/>
    <col min="7436" max="7436" width="13.7109375" style="2" customWidth="1"/>
    <col min="7437" max="7437" width="12" style="2" customWidth="1"/>
    <col min="7438" max="7439" width="12.28515625" style="2" customWidth="1"/>
    <col min="7440" max="7440" width="14.5703125" style="2" customWidth="1"/>
    <col min="7441" max="7442" width="13.7109375" style="2" customWidth="1"/>
    <col min="7443" max="7443" width="15.7109375" style="2" customWidth="1"/>
    <col min="7444" max="7444" width="26.28515625" style="2" customWidth="1"/>
    <col min="7445" max="7445" width="79.5703125" style="2" customWidth="1"/>
    <col min="7446" max="7446" width="16.42578125" style="2" customWidth="1"/>
    <col min="7447" max="7447" width="12" style="2" customWidth="1"/>
    <col min="7448" max="7448" width="2.42578125" style="2" customWidth="1"/>
    <col min="7449" max="7680" width="9.140625" style="2"/>
    <col min="7681" max="7681" width="10.42578125" style="2" customWidth="1"/>
    <col min="7682" max="7682" width="45.5703125" style="2" customWidth="1"/>
    <col min="7683" max="7683" width="5" style="2" customWidth="1"/>
    <col min="7684" max="7684" width="5.28515625" style="2" customWidth="1"/>
    <col min="7685" max="7685" width="13.7109375" style="2" customWidth="1"/>
    <col min="7686" max="7686" width="12.85546875" style="2" customWidth="1"/>
    <col min="7687" max="7687" width="13" style="2" customWidth="1"/>
    <col min="7688" max="7688" width="15.140625" style="2" customWidth="1"/>
    <col min="7689" max="7689" width="12.7109375" style="2" customWidth="1"/>
    <col min="7690" max="7690" width="10.28515625" style="2" customWidth="1"/>
    <col min="7691" max="7691" width="10.42578125" style="2" customWidth="1"/>
    <col min="7692" max="7692" width="13.7109375" style="2" customWidth="1"/>
    <col min="7693" max="7693" width="12" style="2" customWidth="1"/>
    <col min="7694" max="7695" width="12.28515625" style="2" customWidth="1"/>
    <col min="7696" max="7696" width="14.5703125" style="2" customWidth="1"/>
    <col min="7697" max="7698" width="13.7109375" style="2" customWidth="1"/>
    <col min="7699" max="7699" width="15.7109375" style="2" customWidth="1"/>
    <col min="7700" max="7700" width="26.28515625" style="2" customWidth="1"/>
    <col min="7701" max="7701" width="79.5703125" style="2" customWidth="1"/>
    <col min="7702" max="7702" width="16.42578125" style="2" customWidth="1"/>
    <col min="7703" max="7703" width="12" style="2" customWidth="1"/>
    <col min="7704" max="7704" width="2.42578125" style="2" customWidth="1"/>
    <col min="7705" max="7936" width="9.140625" style="2"/>
    <col min="7937" max="7937" width="10.42578125" style="2" customWidth="1"/>
    <col min="7938" max="7938" width="45.5703125" style="2" customWidth="1"/>
    <col min="7939" max="7939" width="5" style="2" customWidth="1"/>
    <col min="7940" max="7940" width="5.28515625" style="2" customWidth="1"/>
    <col min="7941" max="7941" width="13.7109375" style="2" customWidth="1"/>
    <col min="7942" max="7942" width="12.85546875" style="2" customWidth="1"/>
    <col min="7943" max="7943" width="13" style="2" customWidth="1"/>
    <col min="7944" max="7944" width="15.140625" style="2" customWidth="1"/>
    <col min="7945" max="7945" width="12.7109375" style="2" customWidth="1"/>
    <col min="7946" max="7946" width="10.28515625" style="2" customWidth="1"/>
    <col min="7947" max="7947" width="10.42578125" style="2" customWidth="1"/>
    <col min="7948" max="7948" width="13.7109375" style="2" customWidth="1"/>
    <col min="7949" max="7949" width="12" style="2" customWidth="1"/>
    <col min="7950" max="7951" width="12.28515625" style="2" customWidth="1"/>
    <col min="7952" max="7952" width="14.5703125" style="2" customWidth="1"/>
    <col min="7953" max="7954" width="13.7109375" style="2" customWidth="1"/>
    <col min="7955" max="7955" width="15.7109375" style="2" customWidth="1"/>
    <col min="7956" max="7956" width="26.28515625" style="2" customWidth="1"/>
    <col min="7957" max="7957" width="79.5703125" style="2" customWidth="1"/>
    <col min="7958" max="7958" width="16.42578125" style="2" customWidth="1"/>
    <col min="7959" max="7959" width="12" style="2" customWidth="1"/>
    <col min="7960" max="7960" width="2.42578125" style="2" customWidth="1"/>
    <col min="7961" max="8192" width="9.140625" style="2"/>
    <col min="8193" max="8193" width="10.42578125" style="2" customWidth="1"/>
    <col min="8194" max="8194" width="45.5703125" style="2" customWidth="1"/>
    <col min="8195" max="8195" width="5" style="2" customWidth="1"/>
    <col min="8196" max="8196" width="5.28515625" style="2" customWidth="1"/>
    <col min="8197" max="8197" width="13.7109375" style="2" customWidth="1"/>
    <col min="8198" max="8198" width="12.85546875" style="2" customWidth="1"/>
    <col min="8199" max="8199" width="13" style="2" customWidth="1"/>
    <col min="8200" max="8200" width="15.140625" style="2" customWidth="1"/>
    <col min="8201" max="8201" width="12.7109375" style="2" customWidth="1"/>
    <col min="8202" max="8202" width="10.28515625" style="2" customWidth="1"/>
    <col min="8203" max="8203" width="10.42578125" style="2" customWidth="1"/>
    <col min="8204" max="8204" width="13.7109375" style="2" customWidth="1"/>
    <col min="8205" max="8205" width="12" style="2" customWidth="1"/>
    <col min="8206" max="8207" width="12.28515625" style="2" customWidth="1"/>
    <col min="8208" max="8208" width="14.5703125" style="2" customWidth="1"/>
    <col min="8209" max="8210" width="13.7109375" style="2" customWidth="1"/>
    <col min="8211" max="8211" width="15.7109375" style="2" customWidth="1"/>
    <col min="8212" max="8212" width="26.28515625" style="2" customWidth="1"/>
    <col min="8213" max="8213" width="79.5703125" style="2" customWidth="1"/>
    <col min="8214" max="8214" width="16.42578125" style="2" customWidth="1"/>
    <col min="8215" max="8215" width="12" style="2" customWidth="1"/>
    <col min="8216" max="8216" width="2.42578125" style="2" customWidth="1"/>
    <col min="8217" max="8448" width="9.140625" style="2"/>
    <col min="8449" max="8449" width="10.42578125" style="2" customWidth="1"/>
    <col min="8450" max="8450" width="45.5703125" style="2" customWidth="1"/>
    <col min="8451" max="8451" width="5" style="2" customWidth="1"/>
    <col min="8452" max="8452" width="5.28515625" style="2" customWidth="1"/>
    <col min="8453" max="8453" width="13.7109375" style="2" customWidth="1"/>
    <col min="8454" max="8454" width="12.85546875" style="2" customWidth="1"/>
    <col min="8455" max="8455" width="13" style="2" customWidth="1"/>
    <col min="8456" max="8456" width="15.140625" style="2" customWidth="1"/>
    <col min="8457" max="8457" width="12.7109375" style="2" customWidth="1"/>
    <col min="8458" max="8458" width="10.28515625" style="2" customWidth="1"/>
    <col min="8459" max="8459" width="10.42578125" style="2" customWidth="1"/>
    <col min="8460" max="8460" width="13.7109375" style="2" customWidth="1"/>
    <col min="8461" max="8461" width="12" style="2" customWidth="1"/>
    <col min="8462" max="8463" width="12.28515625" style="2" customWidth="1"/>
    <col min="8464" max="8464" width="14.5703125" style="2" customWidth="1"/>
    <col min="8465" max="8466" width="13.7109375" style="2" customWidth="1"/>
    <col min="8467" max="8467" width="15.7109375" style="2" customWidth="1"/>
    <col min="8468" max="8468" width="26.28515625" style="2" customWidth="1"/>
    <col min="8469" max="8469" width="79.5703125" style="2" customWidth="1"/>
    <col min="8470" max="8470" width="16.42578125" style="2" customWidth="1"/>
    <col min="8471" max="8471" width="12" style="2" customWidth="1"/>
    <col min="8472" max="8472" width="2.42578125" style="2" customWidth="1"/>
    <col min="8473" max="8704" width="9.140625" style="2"/>
    <col min="8705" max="8705" width="10.42578125" style="2" customWidth="1"/>
    <col min="8706" max="8706" width="45.5703125" style="2" customWidth="1"/>
    <col min="8707" max="8707" width="5" style="2" customWidth="1"/>
    <col min="8708" max="8708" width="5.28515625" style="2" customWidth="1"/>
    <col min="8709" max="8709" width="13.7109375" style="2" customWidth="1"/>
    <col min="8710" max="8710" width="12.85546875" style="2" customWidth="1"/>
    <col min="8711" max="8711" width="13" style="2" customWidth="1"/>
    <col min="8712" max="8712" width="15.140625" style="2" customWidth="1"/>
    <col min="8713" max="8713" width="12.7109375" style="2" customWidth="1"/>
    <col min="8714" max="8714" width="10.28515625" style="2" customWidth="1"/>
    <col min="8715" max="8715" width="10.42578125" style="2" customWidth="1"/>
    <col min="8716" max="8716" width="13.7109375" style="2" customWidth="1"/>
    <col min="8717" max="8717" width="12" style="2" customWidth="1"/>
    <col min="8718" max="8719" width="12.28515625" style="2" customWidth="1"/>
    <col min="8720" max="8720" width="14.5703125" style="2" customWidth="1"/>
    <col min="8721" max="8722" width="13.7109375" style="2" customWidth="1"/>
    <col min="8723" max="8723" width="15.7109375" style="2" customWidth="1"/>
    <col min="8724" max="8724" width="26.28515625" style="2" customWidth="1"/>
    <col min="8725" max="8725" width="79.5703125" style="2" customWidth="1"/>
    <col min="8726" max="8726" width="16.42578125" style="2" customWidth="1"/>
    <col min="8727" max="8727" width="12" style="2" customWidth="1"/>
    <col min="8728" max="8728" width="2.42578125" style="2" customWidth="1"/>
    <col min="8729" max="8960" width="9.140625" style="2"/>
    <col min="8961" max="8961" width="10.42578125" style="2" customWidth="1"/>
    <col min="8962" max="8962" width="45.5703125" style="2" customWidth="1"/>
    <col min="8963" max="8963" width="5" style="2" customWidth="1"/>
    <col min="8964" max="8964" width="5.28515625" style="2" customWidth="1"/>
    <col min="8965" max="8965" width="13.7109375" style="2" customWidth="1"/>
    <col min="8966" max="8966" width="12.85546875" style="2" customWidth="1"/>
    <col min="8967" max="8967" width="13" style="2" customWidth="1"/>
    <col min="8968" max="8968" width="15.140625" style="2" customWidth="1"/>
    <col min="8969" max="8969" width="12.7109375" style="2" customWidth="1"/>
    <col min="8970" max="8970" width="10.28515625" style="2" customWidth="1"/>
    <col min="8971" max="8971" width="10.42578125" style="2" customWidth="1"/>
    <col min="8972" max="8972" width="13.7109375" style="2" customWidth="1"/>
    <col min="8973" max="8973" width="12" style="2" customWidth="1"/>
    <col min="8974" max="8975" width="12.28515625" style="2" customWidth="1"/>
    <col min="8976" max="8976" width="14.5703125" style="2" customWidth="1"/>
    <col min="8977" max="8978" width="13.7109375" style="2" customWidth="1"/>
    <col min="8979" max="8979" width="15.7109375" style="2" customWidth="1"/>
    <col min="8980" max="8980" width="26.28515625" style="2" customWidth="1"/>
    <col min="8981" max="8981" width="79.5703125" style="2" customWidth="1"/>
    <col min="8982" max="8982" width="16.42578125" style="2" customWidth="1"/>
    <col min="8983" max="8983" width="12" style="2" customWidth="1"/>
    <col min="8984" max="8984" width="2.42578125" style="2" customWidth="1"/>
    <col min="8985" max="9216" width="9.140625" style="2"/>
    <col min="9217" max="9217" width="10.42578125" style="2" customWidth="1"/>
    <col min="9218" max="9218" width="45.5703125" style="2" customWidth="1"/>
    <col min="9219" max="9219" width="5" style="2" customWidth="1"/>
    <col min="9220" max="9220" width="5.28515625" style="2" customWidth="1"/>
    <col min="9221" max="9221" width="13.7109375" style="2" customWidth="1"/>
    <col min="9222" max="9222" width="12.85546875" style="2" customWidth="1"/>
    <col min="9223" max="9223" width="13" style="2" customWidth="1"/>
    <col min="9224" max="9224" width="15.140625" style="2" customWidth="1"/>
    <col min="9225" max="9225" width="12.7109375" style="2" customWidth="1"/>
    <col min="9226" max="9226" width="10.28515625" style="2" customWidth="1"/>
    <col min="9227" max="9227" width="10.42578125" style="2" customWidth="1"/>
    <col min="9228" max="9228" width="13.7109375" style="2" customWidth="1"/>
    <col min="9229" max="9229" width="12" style="2" customWidth="1"/>
    <col min="9230" max="9231" width="12.28515625" style="2" customWidth="1"/>
    <col min="9232" max="9232" width="14.5703125" style="2" customWidth="1"/>
    <col min="9233" max="9234" width="13.7109375" style="2" customWidth="1"/>
    <col min="9235" max="9235" width="15.7109375" style="2" customWidth="1"/>
    <col min="9236" max="9236" width="26.28515625" style="2" customWidth="1"/>
    <col min="9237" max="9237" width="79.5703125" style="2" customWidth="1"/>
    <col min="9238" max="9238" width="16.42578125" style="2" customWidth="1"/>
    <col min="9239" max="9239" width="12" style="2" customWidth="1"/>
    <col min="9240" max="9240" width="2.42578125" style="2" customWidth="1"/>
    <col min="9241" max="9472" width="9.140625" style="2"/>
    <col min="9473" max="9473" width="10.42578125" style="2" customWidth="1"/>
    <col min="9474" max="9474" width="45.5703125" style="2" customWidth="1"/>
    <col min="9475" max="9475" width="5" style="2" customWidth="1"/>
    <col min="9476" max="9476" width="5.28515625" style="2" customWidth="1"/>
    <col min="9477" max="9477" width="13.7109375" style="2" customWidth="1"/>
    <col min="9478" max="9478" width="12.85546875" style="2" customWidth="1"/>
    <col min="9479" max="9479" width="13" style="2" customWidth="1"/>
    <col min="9480" max="9480" width="15.140625" style="2" customWidth="1"/>
    <col min="9481" max="9481" width="12.7109375" style="2" customWidth="1"/>
    <col min="9482" max="9482" width="10.28515625" style="2" customWidth="1"/>
    <col min="9483" max="9483" width="10.42578125" style="2" customWidth="1"/>
    <col min="9484" max="9484" width="13.7109375" style="2" customWidth="1"/>
    <col min="9485" max="9485" width="12" style="2" customWidth="1"/>
    <col min="9486" max="9487" width="12.28515625" style="2" customWidth="1"/>
    <col min="9488" max="9488" width="14.5703125" style="2" customWidth="1"/>
    <col min="9489" max="9490" width="13.7109375" style="2" customWidth="1"/>
    <col min="9491" max="9491" width="15.7109375" style="2" customWidth="1"/>
    <col min="9492" max="9492" width="26.28515625" style="2" customWidth="1"/>
    <col min="9493" max="9493" width="79.5703125" style="2" customWidth="1"/>
    <col min="9494" max="9494" width="16.42578125" style="2" customWidth="1"/>
    <col min="9495" max="9495" width="12" style="2" customWidth="1"/>
    <col min="9496" max="9496" width="2.42578125" style="2" customWidth="1"/>
    <col min="9497" max="9728" width="9.140625" style="2"/>
    <col min="9729" max="9729" width="10.42578125" style="2" customWidth="1"/>
    <col min="9730" max="9730" width="45.5703125" style="2" customWidth="1"/>
    <col min="9731" max="9731" width="5" style="2" customWidth="1"/>
    <col min="9732" max="9732" width="5.28515625" style="2" customWidth="1"/>
    <col min="9733" max="9733" width="13.7109375" style="2" customWidth="1"/>
    <col min="9734" max="9734" width="12.85546875" style="2" customWidth="1"/>
    <col min="9735" max="9735" width="13" style="2" customWidth="1"/>
    <col min="9736" max="9736" width="15.140625" style="2" customWidth="1"/>
    <col min="9737" max="9737" width="12.7109375" style="2" customWidth="1"/>
    <col min="9738" max="9738" width="10.28515625" style="2" customWidth="1"/>
    <col min="9739" max="9739" width="10.42578125" style="2" customWidth="1"/>
    <col min="9740" max="9740" width="13.7109375" style="2" customWidth="1"/>
    <col min="9741" max="9741" width="12" style="2" customWidth="1"/>
    <col min="9742" max="9743" width="12.28515625" style="2" customWidth="1"/>
    <col min="9744" max="9744" width="14.5703125" style="2" customWidth="1"/>
    <col min="9745" max="9746" width="13.7109375" style="2" customWidth="1"/>
    <col min="9747" max="9747" width="15.7109375" style="2" customWidth="1"/>
    <col min="9748" max="9748" width="26.28515625" style="2" customWidth="1"/>
    <col min="9749" max="9749" width="79.5703125" style="2" customWidth="1"/>
    <col min="9750" max="9750" width="16.42578125" style="2" customWidth="1"/>
    <col min="9751" max="9751" width="12" style="2" customWidth="1"/>
    <col min="9752" max="9752" width="2.42578125" style="2" customWidth="1"/>
    <col min="9753" max="9984" width="9.140625" style="2"/>
    <col min="9985" max="9985" width="10.42578125" style="2" customWidth="1"/>
    <col min="9986" max="9986" width="45.5703125" style="2" customWidth="1"/>
    <col min="9987" max="9987" width="5" style="2" customWidth="1"/>
    <col min="9988" max="9988" width="5.28515625" style="2" customWidth="1"/>
    <col min="9989" max="9989" width="13.7109375" style="2" customWidth="1"/>
    <col min="9990" max="9990" width="12.85546875" style="2" customWidth="1"/>
    <col min="9991" max="9991" width="13" style="2" customWidth="1"/>
    <col min="9992" max="9992" width="15.140625" style="2" customWidth="1"/>
    <col min="9993" max="9993" width="12.7109375" style="2" customWidth="1"/>
    <col min="9994" max="9994" width="10.28515625" style="2" customWidth="1"/>
    <col min="9995" max="9995" width="10.42578125" style="2" customWidth="1"/>
    <col min="9996" max="9996" width="13.7109375" style="2" customWidth="1"/>
    <col min="9997" max="9997" width="12" style="2" customWidth="1"/>
    <col min="9998" max="9999" width="12.28515625" style="2" customWidth="1"/>
    <col min="10000" max="10000" width="14.5703125" style="2" customWidth="1"/>
    <col min="10001" max="10002" width="13.7109375" style="2" customWidth="1"/>
    <col min="10003" max="10003" width="15.7109375" style="2" customWidth="1"/>
    <col min="10004" max="10004" width="26.28515625" style="2" customWidth="1"/>
    <col min="10005" max="10005" width="79.5703125" style="2" customWidth="1"/>
    <col min="10006" max="10006" width="16.42578125" style="2" customWidth="1"/>
    <col min="10007" max="10007" width="12" style="2" customWidth="1"/>
    <col min="10008" max="10008" width="2.42578125" style="2" customWidth="1"/>
    <col min="10009" max="10240" width="9.140625" style="2"/>
    <col min="10241" max="10241" width="10.42578125" style="2" customWidth="1"/>
    <col min="10242" max="10242" width="45.5703125" style="2" customWidth="1"/>
    <col min="10243" max="10243" width="5" style="2" customWidth="1"/>
    <col min="10244" max="10244" width="5.28515625" style="2" customWidth="1"/>
    <col min="10245" max="10245" width="13.7109375" style="2" customWidth="1"/>
    <col min="10246" max="10246" width="12.85546875" style="2" customWidth="1"/>
    <col min="10247" max="10247" width="13" style="2" customWidth="1"/>
    <col min="10248" max="10248" width="15.140625" style="2" customWidth="1"/>
    <col min="10249" max="10249" width="12.7109375" style="2" customWidth="1"/>
    <col min="10250" max="10250" width="10.28515625" style="2" customWidth="1"/>
    <col min="10251" max="10251" width="10.42578125" style="2" customWidth="1"/>
    <col min="10252" max="10252" width="13.7109375" style="2" customWidth="1"/>
    <col min="10253" max="10253" width="12" style="2" customWidth="1"/>
    <col min="10254" max="10255" width="12.28515625" style="2" customWidth="1"/>
    <col min="10256" max="10256" width="14.5703125" style="2" customWidth="1"/>
    <col min="10257" max="10258" width="13.7109375" style="2" customWidth="1"/>
    <col min="10259" max="10259" width="15.7109375" style="2" customWidth="1"/>
    <col min="10260" max="10260" width="26.28515625" style="2" customWidth="1"/>
    <col min="10261" max="10261" width="79.5703125" style="2" customWidth="1"/>
    <col min="10262" max="10262" width="16.42578125" style="2" customWidth="1"/>
    <col min="10263" max="10263" width="12" style="2" customWidth="1"/>
    <col min="10264" max="10264" width="2.42578125" style="2" customWidth="1"/>
    <col min="10265" max="10496" width="9.140625" style="2"/>
    <col min="10497" max="10497" width="10.42578125" style="2" customWidth="1"/>
    <col min="10498" max="10498" width="45.5703125" style="2" customWidth="1"/>
    <col min="10499" max="10499" width="5" style="2" customWidth="1"/>
    <col min="10500" max="10500" width="5.28515625" style="2" customWidth="1"/>
    <col min="10501" max="10501" width="13.7109375" style="2" customWidth="1"/>
    <col min="10502" max="10502" width="12.85546875" style="2" customWidth="1"/>
    <col min="10503" max="10503" width="13" style="2" customWidth="1"/>
    <col min="10504" max="10504" width="15.140625" style="2" customWidth="1"/>
    <col min="10505" max="10505" width="12.7109375" style="2" customWidth="1"/>
    <col min="10506" max="10506" width="10.28515625" style="2" customWidth="1"/>
    <col min="10507" max="10507" width="10.42578125" style="2" customWidth="1"/>
    <col min="10508" max="10508" width="13.7109375" style="2" customWidth="1"/>
    <col min="10509" max="10509" width="12" style="2" customWidth="1"/>
    <col min="10510" max="10511" width="12.28515625" style="2" customWidth="1"/>
    <col min="10512" max="10512" width="14.5703125" style="2" customWidth="1"/>
    <col min="10513" max="10514" width="13.7109375" style="2" customWidth="1"/>
    <col min="10515" max="10515" width="15.7109375" style="2" customWidth="1"/>
    <col min="10516" max="10516" width="26.28515625" style="2" customWidth="1"/>
    <col min="10517" max="10517" width="79.5703125" style="2" customWidth="1"/>
    <col min="10518" max="10518" width="16.42578125" style="2" customWidth="1"/>
    <col min="10519" max="10519" width="12" style="2" customWidth="1"/>
    <col min="10520" max="10520" width="2.42578125" style="2" customWidth="1"/>
    <col min="10521" max="10752" width="9.140625" style="2"/>
    <col min="10753" max="10753" width="10.42578125" style="2" customWidth="1"/>
    <col min="10754" max="10754" width="45.5703125" style="2" customWidth="1"/>
    <col min="10755" max="10755" width="5" style="2" customWidth="1"/>
    <col min="10756" max="10756" width="5.28515625" style="2" customWidth="1"/>
    <col min="10757" max="10757" width="13.7109375" style="2" customWidth="1"/>
    <col min="10758" max="10758" width="12.85546875" style="2" customWidth="1"/>
    <col min="10759" max="10759" width="13" style="2" customWidth="1"/>
    <col min="10760" max="10760" width="15.140625" style="2" customWidth="1"/>
    <col min="10761" max="10761" width="12.7109375" style="2" customWidth="1"/>
    <col min="10762" max="10762" width="10.28515625" style="2" customWidth="1"/>
    <col min="10763" max="10763" width="10.42578125" style="2" customWidth="1"/>
    <col min="10764" max="10764" width="13.7109375" style="2" customWidth="1"/>
    <col min="10765" max="10765" width="12" style="2" customWidth="1"/>
    <col min="10766" max="10767" width="12.28515625" style="2" customWidth="1"/>
    <col min="10768" max="10768" width="14.5703125" style="2" customWidth="1"/>
    <col min="10769" max="10770" width="13.7109375" style="2" customWidth="1"/>
    <col min="10771" max="10771" width="15.7109375" style="2" customWidth="1"/>
    <col min="10772" max="10772" width="26.28515625" style="2" customWidth="1"/>
    <col min="10773" max="10773" width="79.5703125" style="2" customWidth="1"/>
    <col min="10774" max="10774" width="16.42578125" style="2" customWidth="1"/>
    <col min="10775" max="10775" width="12" style="2" customWidth="1"/>
    <col min="10776" max="10776" width="2.42578125" style="2" customWidth="1"/>
    <col min="10777" max="11008" width="9.140625" style="2"/>
    <col min="11009" max="11009" width="10.42578125" style="2" customWidth="1"/>
    <col min="11010" max="11010" width="45.5703125" style="2" customWidth="1"/>
    <col min="11011" max="11011" width="5" style="2" customWidth="1"/>
    <col min="11012" max="11012" width="5.28515625" style="2" customWidth="1"/>
    <col min="11013" max="11013" width="13.7109375" style="2" customWidth="1"/>
    <col min="11014" max="11014" width="12.85546875" style="2" customWidth="1"/>
    <col min="11015" max="11015" width="13" style="2" customWidth="1"/>
    <col min="11016" max="11016" width="15.140625" style="2" customWidth="1"/>
    <col min="11017" max="11017" width="12.7109375" style="2" customWidth="1"/>
    <col min="11018" max="11018" width="10.28515625" style="2" customWidth="1"/>
    <col min="11019" max="11019" width="10.42578125" style="2" customWidth="1"/>
    <col min="11020" max="11020" width="13.7109375" style="2" customWidth="1"/>
    <col min="11021" max="11021" width="12" style="2" customWidth="1"/>
    <col min="11022" max="11023" width="12.28515625" style="2" customWidth="1"/>
    <col min="11024" max="11024" width="14.5703125" style="2" customWidth="1"/>
    <col min="11025" max="11026" width="13.7109375" style="2" customWidth="1"/>
    <col min="11027" max="11027" width="15.7109375" style="2" customWidth="1"/>
    <col min="11028" max="11028" width="26.28515625" style="2" customWidth="1"/>
    <col min="11029" max="11029" width="79.5703125" style="2" customWidth="1"/>
    <col min="11030" max="11030" width="16.42578125" style="2" customWidth="1"/>
    <col min="11031" max="11031" width="12" style="2" customWidth="1"/>
    <col min="11032" max="11032" width="2.42578125" style="2" customWidth="1"/>
    <col min="11033" max="11264" width="9.140625" style="2"/>
    <col min="11265" max="11265" width="10.42578125" style="2" customWidth="1"/>
    <col min="11266" max="11266" width="45.5703125" style="2" customWidth="1"/>
    <col min="11267" max="11267" width="5" style="2" customWidth="1"/>
    <col min="11268" max="11268" width="5.28515625" style="2" customWidth="1"/>
    <col min="11269" max="11269" width="13.7109375" style="2" customWidth="1"/>
    <col min="11270" max="11270" width="12.85546875" style="2" customWidth="1"/>
    <col min="11271" max="11271" width="13" style="2" customWidth="1"/>
    <col min="11272" max="11272" width="15.140625" style="2" customWidth="1"/>
    <col min="11273" max="11273" width="12.7109375" style="2" customWidth="1"/>
    <col min="11274" max="11274" width="10.28515625" style="2" customWidth="1"/>
    <col min="11275" max="11275" width="10.42578125" style="2" customWidth="1"/>
    <col min="11276" max="11276" width="13.7109375" style="2" customWidth="1"/>
    <col min="11277" max="11277" width="12" style="2" customWidth="1"/>
    <col min="11278" max="11279" width="12.28515625" style="2" customWidth="1"/>
    <col min="11280" max="11280" width="14.5703125" style="2" customWidth="1"/>
    <col min="11281" max="11282" width="13.7109375" style="2" customWidth="1"/>
    <col min="11283" max="11283" width="15.7109375" style="2" customWidth="1"/>
    <col min="11284" max="11284" width="26.28515625" style="2" customWidth="1"/>
    <col min="11285" max="11285" width="79.5703125" style="2" customWidth="1"/>
    <col min="11286" max="11286" width="16.42578125" style="2" customWidth="1"/>
    <col min="11287" max="11287" width="12" style="2" customWidth="1"/>
    <col min="11288" max="11288" width="2.42578125" style="2" customWidth="1"/>
    <col min="11289" max="11520" width="9.140625" style="2"/>
    <col min="11521" max="11521" width="10.42578125" style="2" customWidth="1"/>
    <col min="11522" max="11522" width="45.5703125" style="2" customWidth="1"/>
    <col min="11523" max="11523" width="5" style="2" customWidth="1"/>
    <col min="11524" max="11524" width="5.28515625" style="2" customWidth="1"/>
    <col min="11525" max="11525" width="13.7109375" style="2" customWidth="1"/>
    <col min="11526" max="11526" width="12.85546875" style="2" customWidth="1"/>
    <col min="11527" max="11527" width="13" style="2" customWidth="1"/>
    <col min="11528" max="11528" width="15.140625" style="2" customWidth="1"/>
    <col min="11529" max="11529" width="12.7109375" style="2" customWidth="1"/>
    <col min="11530" max="11530" width="10.28515625" style="2" customWidth="1"/>
    <col min="11531" max="11531" width="10.42578125" style="2" customWidth="1"/>
    <col min="11532" max="11532" width="13.7109375" style="2" customWidth="1"/>
    <col min="11533" max="11533" width="12" style="2" customWidth="1"/>
    <col min="11534" max="11535" width="12.28515625" style="2" customWidth="1"/>
    <col min="11536" max="11536" width="14.5703125" style="2" customWidth="1"/>
    <col min="11537" max="11538" width="13.7109375" style="2" customWidth="1"/>
    <col min="11539" max="11539" width="15.7109375" style="2" customWidth="1"/>
    <col min="11540" max="11540" width="26.28515625" style="2" customWidth="1"/>
    <col min="11541" max="11541" width="79.5703125" style="2" customWidth="1"/>
    <col min="11542" max="11542" width="16.42578125" style="2" customWidth="1"/>
    <col min="11543" max="11543" width="12" style="2" customWidth="1"/>
    <col min="11544" max="11544" width="2.42578125" style="2" customWidth="1"/>
    <col min="11545" max="11776" width="9.140625" style="2"/>
    <col min="11777" max="11777" width="10.42578125" style="2" customWidth="1"/>
    <col min="11778" max="11778" width="45.5703125" style="2" customWidth="1"/>
    <col min="11779" max="11779" width="5" style="2" customWidth="1"/>
    <col min="11780" max="11780" width="5.28515625" style="2" customWidth="1"/>
    <col min="11781" max="11781" width="13.7109375" style="2" customWidth="1"/>
    <col min="11782" max="11782" width="12.85546875" style="2" customWidth="1"/>
    <col min="11783" max="11783" width="13" style="2" customWidth="1"/>
    <col min="11784" max="11784" width="15.140625" style="2" customWidth="1"/>
    <col min="11785" max="11785" width="12.7109375" style="2" customWidth="1"/>
    <col min="11786" max="11786" width="10.28515625" style="2" customWidth="1"/>
    <col min="11787" max="11787" width="10.42578125" style="2" customWidth="1"/>
    <col min="11788" max="11788" width="13.7109375" style="2" customWidth="1"/>
    <col min="11789" max="11789" width="12" style="2" customWidth="1"/>
    <col min="11790" max="11791" width="12.28515625" style="2" customWidth="1"/>
    <col min="11792" max="11792" width="14.5703125" style="2" customWidth="1"/>
    <col min="11793" max="11794" width="13.7109375" style="2" customWidth="1"/>
    <col min="11795" max="11795" width="15.7109375" style="2" customWidth="1"/>
    <col min="11796" max="11796" width="26.28515625" style="2" customWidth="1"/>
    <col min="11797" max="11797" width="79.5703125" style="2" customWidth="1"/>
    <col min="11798" max="11798" width="16.42578125" style="2" customWidth="1"/>
    <col min="11799" max="11799" width="12" style="2" customWidth="1"/>
    <col min="11800" max="11800" width="2.42578125" style="2" customWidth="1"/>
    <col min="11801" max="12032" width="9.140625" style="2"/>
    <col min="12033" max="12033" width="10.42578125" style="2" customWidth="1"/>
    <col min="12034" max="12034" width="45.5703125" style="2" customWidth="1"/>
    <col min="12035" max="12035" width="5" style="2" customWidth="1"/>
    <col min="12036" max="12036" width="5.28515625" style="2" customWidth="1"/>
    <col min="12037" max="12037" width="13.7109375" style="2" customWidth="1"/>
    <col min="12038" max="12038" width="12.85546875" style="2" customWidth="1"/>
    <col min="12039" max="12039" width="13" style="2" customWidth="1"/>
    <col min="12040" max="12040" width="15.140625" style="2" customWidth="1"/>
    <col min="12041" max="12041" width="12.7109375" style="2" customWidth="1"/>
    <col min="12042" max="12042" width="10.28515625" style="2" customWidth="1"/>
    <col min="12043" max="12043" width="10.42578125" style="2" customWidth="1"/>
    <col min="12044" max="12044" width="13.7109375" style="2" customWidth="1"/>
    <col min="12045" max="12045" width="12" style="2" customWidth="1"/>
    <col min="12046" max="12047" width="12.28515625" style="2" customWidth="1"/>
    <col min="12048" max="12048" width="14.5703125" style="2" customWidth="1"/>
    <col min="12049" max="12050" width="13.7109375" style="2" customWidth="1"/>
    <col min="12051" max="12051" width="15.7109375" style="2" customWidth="1"/>
    <col min="12052" max="12052" width="26.28515625" style="2" customWidth="1"/>
    <col min="12053" max="12053" width="79.5703125" style="2" customWidth="1"/>
    <col min="12054" max="12054" width="16.42578125" style="2" customWidth="1"/>
    <col min="12055" max="12055" width="12" style="2" customWidth="1"/>
    <col min="12056" max="12056" width="2.42578125" style="2" customWidth="1"/>
    <col min="12057" max="12288" width="9.140625" style="2"/>
    <col min="12289" max="12289" width="10.42578125" style="2" customWidth="1"/>
    <col min="12290" max="12290" width="45.5703125" style="2" customWidth="1"/>
    <col min="12291" max="12291" width="5" style="2" customWidth="1"/>
    <col min="12292" max="12292" width="5.28515625" style="2" customWidth="1"/>
    <col min="12293" max="12293" width="13.7109375" style="2" customWidth="1"/>
    <col min="12294" max="12294" width="12.85546875" style="2" customWidth="1"/>
    <col min="12295" max="12295" width="13" style="2" customWidth="1"/>
    <col min="12296" max="12296" width="15.140625" style="2" customWidth="1"/>
    <col min="12297" max="12297" width="12.7109375" style="2" customWidth="1"/>
    <col min="12298" max="12298" width="10.28515625" style="2" customWidth="1"/>
    <col min="12299" max="12299" width="10.42578125" style="2" customWidth="1"/>
    <col min="12300" max="12300" width="13.7109375" style="2" customWidth="1"/>
    <col min="12301" max="12301" width="12" style="2" customWidth="1"/>
    <col min="12302" max="12303" width="12.28515625" style="2" customWidth="1"/>
    <col min="12304" max="12304" width="14.5703125" style="2" customWidth="1"/>
    <col min="12305" max="12306" width="13.7109375" style="2" customWidth="1"/>
    <col min="12307" max="12307" width="15.7109375" style="2" customWidth="1"/>
    <col min="12308" max="12308" width="26.28515625" style="2" customWidth="1"/>
    <col min="12309" max="12309" width="79.5703125" style="2" customWidth="1"/>
    <col min="12310" max="12310" width="16.42578125" style="2" customWidth="1"/>
    <col min="12311" max="12311" width="12" style="2" customWidth="1"/>
    <col min="12312" max="12312" width="2.42578125" style="2" customWidth="1"/>
    <col min="12313" max="12544" width="9.140625" style="2"/>
    <col min="12545" max="12545" width="10.42578125" style="2" customWidth="1"/>
    <col min="12546" max="12546" width="45.5703125" style="2" customWidth="1"/>
    <col min="12547" max="12547" width="5" style="2" customWidth="1"/>
    <col min="12548" max="12548" width="5.28515625" style="2" customWidth="1"/>
    <col min="12549" max="12549" width="13.7109375" style="2" customWidth="1"/>
    <col min="12550" max="12550" width="12.85546875" style="2" customWidth="1"/>
    <col min="12551" max="12551" width="13" style="2" customWidth="1"/>
    <col min="12552" max="12552" width="15.140625" style="2" customWidth="1"/>
    <col min="12553" max="12553" width="12.7109375" style="2" customWidth="1"/>
    <col min="12554" max="12554" width="10.28515625" style="2" customWidth="1"/>
    <col min="12555" max="12555" width="10.42578125" style="2" customWidth="1"/>
    <col min="12556" max="12556" width="13.7109375" style="2" customWidth="1"/>
    <col min="12557" max="12557" width="12" style="2" customWidth="1"/>
    <col min="12558" max="12559" width="12.28515625" style="2" customWidth="1"/>
    <col min="12560" max="12560" width="14.5703125" style="2" customWidth="1"/>
    <col min="12561" max="12562" width="13.7109375" style="2" customWidth="1"/>
    <col min="12563" max="12563" width="15.7109375" style="2" customWidth="1"/>
    <col min="12564" max="12564" width="26.28515625" style="2" customWidth="1"/>
    <col min="12565" max="12565" width="79.5703125" style="2" customWidth="1"/>
    <col min="12566" max="12566" width="16.42578125" style="2" customWidth="1"/>
    <col min="12567" max="12567" width="12" style="2" customWidth="1"/>
    <col min="12568" max="12568" width="2.42578125" style="2" customWidth="1"/>
    <col min="12569" max="12800" width="9.140625" style="2"/>
    <col min="12801" max="12801" width="10.42578125" style="2" customWidth="1"/>
    <col min="12802" max="12802" width="45.5703125" style="2" customWidth="1"/>
    <col min="12803" max="12803" width="5" style="2" customWidth="1"/>
    <col min="12804" max="12804" width="5.28515625" style="2" customWidth="1"/>
    <col min="12805" max="12805" width="13.7109375" style="2" customWidth="1"/>
    <col min="12806" max="12806" width="12.85546875" style="2" customWidth="1"/>
    <col min="12807" max="12807" width="13" style="2" customWidth="1"/>
    <col min="12808" max="12808" width="15.140625" style="2" customWidth="1"/>
    <col min="12809" max="12809" width="12.7109375" style="2" customWidth="1"/>
    <col min="12810" max="12810" width="10.28515625" style="2" customWidth="1"/>
    <col min="12811" max="12811" width="10.42578125" style="2" customWidth="1"/>
    <col min="12812" max="12812" width="13.7109375" style="2" customWidth="1"/>
    <col min="12813" max="12813" width="12" style="2" customWidth="1"/>
    <col min="12814" max="12815" width="12.28515625" style="2" customWidth="1"/>
    <col min="12816" max="12816" width="14.5703125" style="2" customWidth="1"/>
    <col min="12817" max="12818" width="13.7109375" style="2" customWidth="1"/>
    <col min="12819" max="12819" width="15.7109375" style="2" customWidth="1"/>
    <col min="12820" max="12820" width="26.28515625" style="2" customWidth="1"/>
    <col min="12821" max="12821" width="79.5703125" style="2" customWidth="1"/>
    <col min="12822" max="12822" width="16.42578125" style="2" customWidth="1"/>
    <col min="12823" max="12823" width="12" style="2" customWidth="1"/>
    <col min="12824" max="12824" width="2.42578125" style="2" customWidth="1"/>
    <col min="12825" max="13056" width="9.140625" style="2"/>
    <col min="13057" max="13057" width="10.42578125" style="2" customWidth="1"/>
    <col min="13058" max="13058" width="45.5703125" style="2" customWidth="1"/>
    <col min="13059" max="13059" width="5" style="2" customWidth="1"/>
    <col min="13060" max="13060" width="5.28515625" style="2" customWidth="1"/>
    <col min="13061" max="13061" width="13.7109375" style="2" customWidth="1"/>
    <col min="13062" max="13062" width="12.85546875" style="2" customWidth="1"/>
    <col min="13063" max="13063" width="13" style="2" customWidth="1"/>
    <col min="13064" max="13064" width="15.140625" style="2" customWidth="1"/>
    <col min="13065" max="13065" width="12.7109375" style="2" customWidth="1"/>
    <col min="13066" max="13066" width="10.28515625" style="2" customWidth="1"/>
    <col min="13067" max="13067" width="10.42578125" style="2" customWidth="1"/>
    <col min="13068" max="13068" width="13.7109375" style="2" customWidth="1"/>
    <col min="13069" max="13069" width="12" style="2" customWidth="1"/>
    <col min="13070" max="13071" width="12.28515625" style="2" customWidth="1"/>
    <col min="13072" max="13072" width="14.5703125" style="2" customWidth="1"/>
    <col min="13073" max="13074" width="13.7109375" style="2" customWidth="1"/>
    <col min="13075" max="13075" width="15.7109375" style="2" customWidth="1"/>
    <col min="13076" max="13076" width="26.28515625" style="2" customWidth="1"/>
    <col min="13077" max="13077" width="79.5703125" style="2" customWidth="1"/>
    <col min="13078" max="13078" width="16.42578125" style="2" customWidth="1"/>
    <col min="13079" max="13079" width="12" style="2" customWidth="1"/>
    <col min="13080" max="13080" width="2.42578125" style="2" customWidth="1"/>
    <col min="13081" max="13312" width="9.140625" style="2"/>
    <col min="13313" max="13313" width="10.42578125" style="2" customWidth="1"/>
    <col min="13314" max="13314" width="45.5703125" style="2" customWidth="1"/>
    <col min="13315" max="13315" width="5" style="2" customWidth="1"/>
    <col min="13316" max="13316" width="5.28515625" style="2" customWidth="1"/>
    <col min="13317" max="13317" width="13.7109375" style="2" customWidth="1"/>
    <col min="13318" max="13318" width="12.85546875" style="2" customWidth="1"/>
    <col min="13319" max="13319" width="13" style="2" customWidth="1"/>
    <col min="13320" max="13320" width="15.140625" style="2" customWidth="1"/>
    <col min="13321" max="13321" width="12.7109375" style="2" customWidth="1"/>
    <col min="13322" max="13322" width="10.28515625" style="2" customWidth="1"/>
    <col min="13323" max="13323" width="10.42578125" style="2" customWidth="1"/>
    <col min="13324" max="13324" width="13.7109375" style="2" customWidth="1"/>
    <col min="13325" max="13325" width="12" style="2" customWidth="1"/>
    <col min="13326" max="13327" width="12.28515625" style="2" customWidth="1"/>
    <col min="13328" max="13328" width="14.5703125" style="2" customWidth="1"/>
    <col min="13329" max="13330" width="13.7109375" style="2" customWidth="1"/>
    <col min="13331" max="13331" width="15.7109375" style="2" customWidth="1"/>
    <col min="13332" max="13332" width="26.28515625" style="2" customWidth="1"/>
    <col min="13333" max="13333" width="79.5703125" style="2" customWidth="1"/>
    <col min="13334" max="13334" width="16.42578125" style="2" customWidth="1"/>
    <col min="13335" max="13335" width="12" style="2" customWidth="1"/>
    <col min="13336" max="13336" width="2.42578125" style="2" customWidth="1"/>
    <col min="13337" max="13568" width="9.140625" style="2"/>
    <col min="13569" max="13569" width="10.42578125" style="2" customWidth="1"/>
    <col min="13570" max="13570" width="45.5703125" style="2" customWidth="1"/>
    <col min="13571" max="13571" width="5" style="2" customWidth="1"/>
    <col min="13572" max="13572" width="5.28515625" style="2" customWidth="1"/>
    <col min="13573" max="13573" width="13.7109375" style="2" customWidth="1"/>
    <col min="13574" max="13574" width="12.85546875" style="2" customWidth="1"/>
    <col min="13575" max="13575" width="13" style="2" customWidth="1"/>
    <col min="13576" max="13576" width="15.140625" style="2" customWidth="1"/>
    <col min="13577" max="13577" width="12.7109375" style="2" customWidth="1"/>
    <col min="13578" max="13578" width="10.28515625" style="2" customWidth="1"/>
    <col min="13579" max="13579" width="10.42578125" style="2" customWidth="1"/>
    <col min="13580" max="13580" width="13.7109375" style="2" customWidth="1"/>
    <col min="13581" max="13581" width="12" style="2" customWidth="1"/>
    <col min="13582" max="13583" width="12.28515625" style="2" customWidth="1"/>
    <col min="13584" max="13584" width="14.5703125" style="2" customWidth="1"/>
    <col min="13585" max="13586" width="13.7109375" style="2" customWidth="1"/>
    <col min="13587" max="13587" width="15.7109375" style="2" customWidth="1"/>
    <col min="13588" max="13588" width="26.28515625" style="2" customWidth="1"/>
    <col min="13589" max="13589" width="79.5703125" style="2" customWidth="1"/>
    <col min="13590" max="13590" width="16.42578125" style="2" customWidth="1"/>
    <col min="13591" max="13591" width="12" style="2" customWidth="1"/>
    <col min="13592" max="13592" width="2.42578125" style="2" customWidth="1"/>
    <col min="13593" max="13824" width="9.140625" style="2"/>
    <col min="13825" max="13825" width="10.42578125" style="2" customWidth="1"/>
    <col min="13826" max="13826" width="45.5703125" style="2" customWidth="1"/>
    <col min="13827" max="13827" width="5" style="2" customWidth="1"/>
    <col min="13828" max="13828" width="5.28515625" style="2" customWidth="1"/>
    <col min="13829" max="13829" width="13.7109375" style="2" customWidth="1"/>
    <col min="13830" max="13830" width="12.85546875" style="2" customWidth="1"/>
    <col min="13831" max="13831" width="13" style="2" customWidth="1"/>
    <col min="13832" max="13832" width="15.140625" style="2" customWidth="1"/>
    <col min="13833" max="13833" width="12.7109375" style="2" customWidth="1"/>
    <col min="13834" max="13834" width="10.28515625" style="2" customWidth="1"/>
    <col min="13835" max="13835" width="10.42578125" style="2" customWidth="1"/>
    <col min="13836" max="13836" width="13.7109375" style="2" customWidth="1"/>
    <col min="13837" max="13837" width="12" style="2" customWidth="1"/>
    <col min="13838" max="13839" width="12.28515625" style="2" customWidth="1"/>
    <col min="13840" max="13840" width="14.5703125" style="2" customWidth="1"/>
    <col min="13841" max="13842" width="13.7109375" style="2" customWidth="1"/>
    <col min="13843" max="13843" width="15.7109375" style="2" customWidth="1"/>
    <col min="13844" max="13844" width="26.28515625" style="2" customWidth="1"/>
    <col min="13845" max="13845" width="79.5703125" style="2" customWidth="1"/>
    <col min="13846" max="13846" width="16.42578125" style="2" customWidth="1"/>
    <col min="13847" max="13847" width="12" style="2" customWidth="1"/>
    <col min="13848" max="13848" width="2.42578125" style="2" customWidth="1"/>
    <col min="13849" max="14080" width="9.140625" style="2"/>
    <col min="14081" max="14081" width="10.42578125" style="2" customWidth="1"/>
    <col min="14082" max="14082" width="45.5703125" style="2" customWidth="1"/>
    <col min="14083" max="14083" width="5" style="2" customWidth="1"/>
    <col min="14084" max="14084" width="5.28515625" style="2" customWidth="1"/>
    <col min="14085" max="14085" width="13.7109375" style="2" customWidth="1"/>
    <col min="14086" max="14086" width="12.85546875" style="2" customWidth="1"/>
    <col min="14087" max="14087" width="13" style="2" customWidth="1"/>
    <col min="14088" max="14088" width="15.140625" style="2" customWidth="1"/>
    <col min="14089" max="14089" width="12.7109375" style="2" customWidth="1"/>
    <col min="14090" max="14090" width="10.28515625" style="2" customWidth="1"/>
    <col min="14091" max="14091" width="10.42578125" style="2" customWidth="1"/>
    <col min="14092" max="14092" width="13.7109375" style="2" customWidth="1"/>
    <col min="14093" max="14093" width="12" style="2" customWidth="1"/>
    <col min="14094" max="14095" width="12.28515625" style="2" customWidth="1"/>
    <col min="14096" max="14096" width="14.5703125" style="2" customWidth="1"/>
    <col min="14097" max="14098" width="13.7109375" style="2" customWidth="1"/>
    <col min="14099" max="14099" width="15.7109375" style="2" customWidth="1"/>
    <col min="14100" max="14100" width="26.28515625" style="2" customWidth="1"/>
    <col min="14101" max="14101" width="79.5703125" style="2" customWidth="1"/>
    <col min="14102" max="14102" width="16.42578125" style="2" customWidth="1"/>
    <col min="14103" max="14103" width="12" style="2" customWidth="1"/>
    <col min="14104" max="14104" width="2.42578125" style="2" customWidth="1"/>
    <col min="14105" max="14336" width="9.140625" style="2"/>
    <col min="14337" max="14337" width="10.42578125" style="2" customWidth="1"/>
    <col min="14338" max="14338" width="45.5703125" style="2" customWidth="1"/>
    <col min="14339" max="14339" width="5" style="2" customWidth="1"/>
    <col min="14340" max="14340" width="5.28515625" style="2" customWidth="1"/>
    <col min="14341" max="14341" width="13.7109375" style="2" customWidth="1"/>
    <col min="14342" max="14342" width="12.85546875" style="2" customWidth="1"/>
    <col min="14343" max="14343" width="13" style="2" customWidth="1"/>
    <col min="14344" max="14344" width="15.140625" style="2" customWidth="1"/>
    <col min="14345" max="14345" width="12.7109375" style="2" customWidth="1"/>
    <col min="14346" max="14346" width="10.28515625" style="2" customWidth="1"/>
    <col min="14347" max="14347" width="10.42578125" style="2" customWidth="1"/>
    <col min="14348" max="14348" width="13.7109375" style="2" customWidth="1"/>
    <col min="14349" max="14349" width="12" style="2" customWidth="1"/>
    <col min="14350" max="14351" width="12.28515625" style="2" customWidth="1"/>
    <col min="14352" max="14352" width="14.5703125" style="2" customWidth="1"/>
    <col min="14353" max="14354" width="13.7109375" style="2" customWidth="1"/>
    <col min="14355" max="14355" width="15.7109375" style="2" customWidth="1"/>
    <col min="14356" max="14356" width="26.28515625" style="2" customWidth="1"/>
    <col min="14357" max="14357" width="79.5703125" style="2" customWidth="1"/>
    <col min="14358" max="14358" width="16.42578125" style="2" customWidth="1"/>
    <col min="14359" max="14359" width="12" style="2" customWidth="1"/>
    <col min="14360" max="14360" width="2.42578125" style="2" customWidth="1"/>
    <col min="14361" max="14592" width="9.140625" style="2"/>
    <col min="14593" max="14593" width="10.42578125" style="2" customWidth="1"/>
    <col min="14594" max="14594" width="45.5703125" style="2" customWidth="1"/>
    <col min="14595" max="14595" width="5" style="2" customWidth="1"/>
    <col min="14596" max="14596" width="5.28515625" style="2" customWidth="1"/>
    <col min="14597" max="14597" width="13.7109375" style="2" customWidth="1"/>
    <col min="14598" max="14598" width="12.85546875" style="2" customWidth="1"/>
    <col min="14599" max="14599" width="13" style="2" customWidth="1"/>
    <col min="14600" max="14600" width="15.140625" style="2" customWidth="1"/>
    <col min="14601" max="14601" width="12.7109375" style="2" customWidth="1"/>
    <col min="14602" max="14602" width="10.28515625" style="2" customWidth="1"/>
    <col min="14603" max="14603" width="10.42578125" style="2" customWidth="1"/>
    <col min="14604" max="14604" width="13.7109375" style="2" customWidth="1"/>
    <col min="14605" max="14605" width="12" style="2" customWidth="1"/>
    <col min="14606" max="14607" width="12.28515625" style="2" customWidth="1"/>
    <col min="14608" max="14608" width="14.5703125" style="2" customWidth="1"/>
    <col min="14609" max="14610" width="13.7109375" style="2" customWidth="1"/>
    <col min="14611" max="14611" width="15.7109375" style="2" customWidth="1"/>
    <col min="14612" max="14612" width="26.28515625" style="2" customWidth="1"/>
    <col min="14613" max="14613" width="79.5703125" style="2" customWidth="1"/>
    <col min="14614" max="14614" width="16.42578125" style="2" customWidth="1"/>
    <col min="14615" max="14615" width="12" style="2" customWidth="1"/>
    <col min="14616" max="14616" width="2.42578125" style="2" customWidth="1"/>
    <col min="14617" max="14848" width="9.140625" style="2"/>
    <col min="14849" max="14849" width="10.42578125" style="2" customWidth="1"/>
    <col min="14850" max="14850" width="45.5703125" style="2" customWidth="1"/>
    <col min="14851" max="14851" width="5" style="2" customWidth="1"/>
    <col min="14852" max="14852" width="5.28515625" style="2" customWidth="1"/>
    <col min="14853" max="14853" width="13.7109375" style="2" customWidth="1"/>
    <col min="14854" max="14854" width="12.85546875" style="2" customWidth="1"/>
    <col min="14855" max="14855" width="13" style="2" customWidth="1"/>
    <col min="14856" max="14856" width="15.140625" style="2" customWidth="1"/>
    <col min="14857" max="14857" width="12.7109375" style="2" customWidth="1"/>
    <col min="14858" max="14858" width="10.28515625" style="2" customWidth="1"/>
    <col min="14859" max="14859" width="10.42578125" style="2" customWidth="1"/>
    <col min="14860" max="14860" width="13.7109375" style="2" customWidth="1"/>
    <col min="14861" max="14861" width="12" style="2" customWidth="1"/>
    <col min="14862" max="14863" width="12.28515625" style="2" customWidth="1"/>
    <col min="14864" max="14864" width="14.5703125" style="2" customWidth="1"/>
    <col min="14865" max="14866" width="13.7109375" style="2" customWidth="1"/>
    <col min="14867" max="14867" width="15.7109375" style="2" customWidth="1"/>
    <col min="14868" max="14868" width="26.28515625" style="2" customWidth="1"/>
    <col min="14869" max="14869" width="79.5703125" style="2" customWidth="1"/>
    <col min="14870" max="14870" width="16.42578125" style="2" customWidth="1"/>
    <col min="14871" max="14871" width="12" style="2" customWidth="1"/>
    <col min="14872" max="14872" width="2.42578125" style="2" customWidth="1"/>
    <col min="14873" max="15104" width="9.140625" style="2"/>
    <col min="15105" max="15105" width="10.42578125" style="2" customWidth="1"/>
    <col min="15106" max="15106" width="45.5703125" style="2" customWidth="1"/>
    <col min="15107" max="15107" width="5" style="2" customWidth="1"/>
    <col min="15108" max="15108" width="5.28515625" style="2" customWidth="1"/>
    <col min="15109" max="15109" width="13.7109375" style="2" customWidth="1"/>
    <col min="15110" max="15110" width="12.85546875" style="2" customWidth="1"/>
    <col min="15111" max="15111" width="13" style="2" customWidth="1"/>
    <col min="15112" max="15112" width="15.140625" style="2" customWidth="1"/>
    <col min="15113" max="15113" width="12.7109375" style="2" customWidth="1"/>
    <col min="15114" max="15114" width="10.28515625" style="2" customWidth="1"/>
    <col min="15115" max="15115" width="10.42578125" style="2" customWidth="1"/>
    <col min="15116" max="15116" width="13.7109375" style="2" customWidth="1"/>
    <col min="15117" max="15117" width="12" style="2" customWidth="1"/>
    <col min="15118" max="15119" width="12.28515625" style="2" customWidth="1"/>
    <col min="15120" max="15120" width="14.5703125" style="2" customWidth="1"/>
    <col min="15121" max="15122" width="13.7109375" style="2" customWidth="1"/>
    <col min="15123" max="15123" width="15.7109375" style="2" customWidth="1"/>
    <col min="15124" max="15124" width="26.28515625" style="2" customWidth="1"/>
    <col min="15125" max="15125" width="79.5703125" style="2" customWidth="1"/>
    <col min="15126" max="15126" width="16.42578125" style="2" customWidth="1"/>
    <col min="15127" max="15127" width="12" style="2" customWidth="1"/>
    <col min="15128" max="15128" width="2.42578125" style="2" customWidth="1"/>
    <col min="15129" max="15360" width="9.140625" style="2"/>
    <col min="15361" max="15361" width="10.42578125" style="2" customWidth="1"/>
    <col min="15362" max="15362" width="45.5703125" style="2" customWidth="1"/>
    <col min="15363" max="15363" width="5" style="2" customWidth="1"/>
    <col min="15364" max="15364" width="5.28515625" style="2" customWidth="1"/>
    <col min="15365" max="15365" width="13.7109375" style="2" customWidth="1"/>
    <col min="15366" max="15366" width="12.85546875" style="2" customWidth="1"/>
    <col min="15367" max="15367" width="13" style="2" customWidth="1"/>
    <col min="15368" max="15368" width="15.140625" style="2" customWidth="1"/>
    <col min="15369" max="15369" width="12.7109375" style="2" customWidth="1"/>
    <col min="15370" max="15370" width="10.28515625" style="2" customWidth="1"/>
    <col min="15371" max="15371" width="10.42578125" style="2" customWidth="1"/>
    <col min="15372" max="15372" width="13.7109375" style="2" customWidth="1"/>
    <col min="15373" max="15373" width="12" style="2" customWidth="1"/>
    <col min="15374" max="15375" width="12.28515625" style="2" customWidth="1"/>
    <col min="15376" max="15376" width="14.5703125" style="2" customWidth="1"/>
    <col min="15377" max="15378" width="13.7109375" style="2" customWidth="1"/>
    <col min="15379" max="15379" width="15.7109375" style="2" customWidth="1"/>
    <col min="15380" max="15380" width="26.28515625" style="2" customWidth="1"/>
    <col min="15381" max="15381" width="79.5703125" style="2" customWidth="1"/>
    <col min="15382" max="15382" width="16.42578125" style="2" customWidth="1"/>
    <col min="15383" max="15383" width="12" style="2" customWidth="1"/>
    <col min="15384" max="15384" width="2.42578125" style="2" customWidth="1"/>
    <col min="15385" max="15616" width="9.140625" style="2"/>
    <col min="15617" max="15617" width="10.42578125" style="2" customWidth="1"/>
    <col min="15618" max="15618" width="45.5703125" style="2" customWidth="1"/>
    <col min="15619" max="15619" width="5" style="2" customWidth="1"/>
    <col min="15620" max="15620" width="5.28515625" style="2" customWidth="1"/>
    <col min="15621" max="15621" width="13.7109375" style="2" customWidth="1"/>
    <col min="15622" max="15622" width="12.85546875" style="2" customWidth="1"/>
    <col min="15623" max="15623" width="13" style="2" customWidth="1"/>
    <col min="15624" max="15624" width="15.140625" style="2" customWidth="1"/>
    <col min="15625" max="15625" width="12.7109375" style="2" customWidth="1"/>
    <col min="15626" max="15626" width="10.28515625" style="2" customWidth="1"/>
    <col min="15627" max="15627" width="10.42578125" style="2" customWidth="1"/>
    <col min="15628" max="15628" width="13.7109375" style="2" customWidth="1"/>
    <col min="15629" max="15629" width="12" style="2" customWidth="1"/>
    <col min="15630" max="15631" width="12.28515625" style="2" customWidth="1"/>
    <col min="15632" max="15632" width="14.5703125" style="2" customWidth="1"/>
    <col min="15633" max="15634" width="13.7109375" style="2" customWidth="1"/>
    <col min="15635" max="15635" width="15.7109375" style="2" customWidth="1"/>
    <col min="15636" max="15636" width="26.28515625" style="2" customWidth="1"/>
    <col min="15637" max="15637" width="79.5703125" style="2" customWidth="1"/>
    <col min="15638" max="15638" width="16.42578125" style="2" customWidth="1"/>
    <col min="15639" max="15639" width="12" style="2" customWidth="1"/>
    <col min="15640" max="15640" width="2.42578125" style="2" customWidth="1"/>
    <col min="15641" max="15872" width="9.140625" style="2"/>
    <col min="15873" max="15873" width="10.42578125" style="2" customWidth="1"/>
    <col min="15874" max="15874" width="45.5703125" style="2" customWidth="1"/>
    <col min="15875" max="15875" width="5" style="2" customWidth="1"/>
    <col min="15876" max="15876" width="5.28515625" style="2" customWidth="1"/>
    <col min="15877" max="15877" width="13.7109375" style="2" customWidth="1"/>
    <col min="15878" max="15878" width="12.85546875" style="2" customWidth="1"/>
    <col min="15879" max="15879" width="13" style="2" customWidth="1"/>
    <col min="15880" max="15880" width="15.140625" style="2" customWidth="1"/>
    <col min="15881" max="15881" width="12.7109375" style="2" customWidth="1"/>
    <col min="15882" max="15882" width="10.28515625" style="2" customWidth="1"/>
    <col min="15883" max="15883" width="10.42578125" style="2" customWidth="1"/>
    <col min="15884" max="15884" width="13.7109375" style="2" customWidth="1"/>
    <col min="15885" max="15885" width="12" style="2" customWidth="1"/>
    <col min="15886" max="15887" width="12.28515625" style="2" customWidth="1"/>
    <col min="15888" max="15888" width="14.5703125" style="2" customWidth="1"/>
    <col min="15889" max="15890" width="13.7109375" style="2" customWidth="1"/>
    <col min="15891" max="15891" width="15.7109375" style="2" customWidth="1"/>
    <col min="15892" max="15892" width="26.28515625" style="2" customWidth="1"/>
    <col min="15893" max="15893" width="79.5703125" style="2" customWidth="1"/>
    <col min="15894" max="15894" width="16.42578125" style="2" customWidth="1"/>
    <col min="15895" max="15895" width="12" style="2" customWidth="1"/>
    <col min="15896" max="15896" width="2.42578125" style="2" customWidth="1"/>
    <col min="15897" max="16128" width="9.140625" style="2"/>
    <col min="16129" max="16129" width="10.42578125" style="2" customWidth="1"/>
    <col min="16130" max="16130" width="45.5703125" style="2" customWidth="1"/>
    <col min="16131" max="16131" width="5" style="2" customWidth="1"/>
    <col min="16132" max="16132" width="5.28515625" style="2" customWidth="1"/>
    <col min="16133" max="16133" width="13.7109375" style="2" customWidth="1"/>
    <col min="16134" max="16134" width="12.85546875" style="2" customWidth="1"/>
    <col min="16135" max="16135" width="13" style="2" customWidth="1"/>
    <col min="16136" max="16136" width="15.140625" style="2" customWidth="1"/>
    <col min="16137" max="16137" width="12.7109375" style="2" customWidth="1"/>
    <col min="16138" max="16138" width="10.28515625" style="2" customWidth="1"/>
    <col min="16139" max="16139" width="10.42578125" style="2" customWidth="1"/>
    <col min="16140" max="16140" width="13.7109375" style="2" customWidth="1"/>
    <col min="16141" max="16141" width="12" style="2" customWidth="1"/>
    <col min="16142" max="16143" width="12.28515625" style="2" customWidth="1"/>
    <col min="16144" max="16144" width="14.5703125" style="2" customWidth="1"/>
    <col min="16145" max="16146" width="13.7109375" style="2" customWidth="1"/>
    <col min="16147" max="16147" width="15.7109375" style="2" customWidth="1"/>
    <col min="16148" max="16148" width="26.28515625" style="2" customWidth="1"/>
    <col min="16149" max="16149" width="79.5703125" style="2" customWidth="1"/>
    <col min="16150" max="16150" width="16.42578125" style="2" customWidth="1"/>
    <col min="16151" max="16151" width="12" style="2" customWidth="1"/>
    <col min="16152" max="16152" width="2.42578125" style="2" customWidth="1"/>
    <col min="16153" max="16384" width="9.140625" style="2"/>
  </cols>
  <sheetData>
    <row r="1" spans="1:23" s="1" customFormat="1">
      <c r="A1" s="549" t="s">
        <v>388</v>
      </c>
      <c r="B1" s="549"/>
      <c r="C1" s="549"/>
      <c r="D1" s="549"/>
      <c r="E1" s="549"/>
      <c r="F1" s="549"/>
      <c r="G1" s="549"/>
      <c r="H1" s="549"/>
      <c r="I1" s="549"/>
      <c r="J1" s="549"/>
      <c r="K1" s="549"/>
      <c r="L1" s="549"/>
      <c r="M1" s="549"/>
      <c r="N1" s="549"/>
      <c r="O1" s="549"/>
      <c r="P1" s="549"/>
      <c r="Q1" s="549"/>
      <c r="R1" s="549"/>
      <c r="S1" s="549"/>
      <c r="T1" s="549"/>
      <c r="U1" s="549"/>
      <c r="V1" s="549"/>
      <c r="W1" s="550"/>
    </row>
    <row r="2" spans="1:23" s="1" customFormat="1" ht="20.25" customHeight="1">
      <c r="A2" s="548" t="s">
        <v>0</v>
      </c>
      <c r="B2" s="548" t="s">
        <v>1</v>
      </c>
      <c r="C2" s="548" t="s">
        <v>2</v>
      </c>
      <c r="D2" s="548" t="s">
        <v>3</v>
      </c>
      <c r="E2" s="548"/>
      <c r="F2" s="548" t="s">
        <v>4</v>
      </c>
      <c r="G2" s="548" t="s">
        <v>438</v>
      </c>
      <c r="H2" s="548"/>
      <c r="I2" s="548" t="s">
        <v>5</v>
      </c>
      <c r="J2" s="551" t="s">
        <v>436</v>
      </c>
      <c r="K2" s="552"/>
      <c r="L2" s="552"/>
      <c r="M2" s="552"/>
      <c r="N2" s="552"/>
      <c r="O2" s="552"/>
      <c r="P2" s="552"/>
      <c r="Q2" s="548" t="s">
        <v>816</v>
      </c>
      <c r="R2" s="548" t="s">
        <v>6</v>
      </c>
      <c r="S2" s="548" t="s">
        <v>7</v>
      </c>
      <c r="T2" s="548" t="s">
        <v>8</v>
      </c>
      <c r="U2" s="548" t="s">
        <v>9</v>
      </c>
      <c r="V2" s="548" t="s">
        <v>10</v>
      </c>
      <c r="W2" s="548" t="s">
        <v>11</v>
      </c>
    </row>
    <row r="3" spans="1:23" s="1" customFormat="1" ht="15" customHeight="1">
      <c r="A3" s="548"/>
      <c r="B3" s="548"/>
      <c r="C3" s="548"/>
      <c r="D3" s="548" t="s">
        <v>12</v>
      </c>
      <c r="E3" s="548" t="s">
        <v>13</v>
      </c>
      <c r="F3" s="548"/>
      <c r="G3" s="548" t="s">
        <v>14</v>
      </c>
      <c r="H3" s="548" t="s">
        <v>15</v>
      </c>
      <c r="I3" s="548"/>
      <c r="J3" s="548" t="s">
        <v>14</v>
      </c>
      <c r="K3" s="548" t="s">
        <v>15</v>
      </c>
      <c r="L3" s="551" t="s">
        <v>16</v>
      </c>
      <c r="M3" s="552"/>
      <c r="N3" s="552"/>
      <c r="O3" s="552"/>
      <c r="P3" s="552"/>
      <c r="Q3" s="548"/>
      <c r="R3" s="548"/>
      <c r="S3" s="548"/>
      <c r="T3" s="548"/>
      <c r="U3" s="548"/>
      <c r="V3" s="548"/>
      <c r="W3" s="548"/>
    </row>
    <row r="4" spans="1:23" ht="81.75" customHeight="1">
      <c r="A4" s="548"/>
      <c r="B4" s="548"/>
      <c r="C4" s="548"/>
      <c r="D4" s="548"/>
      <c r="E4" s="548"/>
      <c r="F4" s="548"/>
      <c r="G4" s="548"/>
      <c r="H4" s="548"/>
      <c r="I4" s="548"/>
      <c r="J4" s="548"/>
      <c r="K4" s="548"/>
      <c r="L4" s="256" t="s">
        <v>17</v>
      </c>
      <c r="M4" s="256" t="s">
        <v>18</v>
      </c>
      <c r="N4" s="256" t="s">
        <v>19</v>
      </c>
      <c r="O4" s="256" t="s">
        <v>20</v>
      </c>
      <c r="P4" s="146">
        <v>2025</v>
      </c>
      <c r="Q4" s="548"/>
      <c r="R4" s="548"/>
      <c r="S4" s="548"/>
      <c r="T4" s="548"/>
      <c r="U4" s="548"/>
      <c r="V4" s="548"/>
      <c r="W4" s="548"/>
    </row>
    <row r="5" spans="1:23">
      <c r="A5" s="256">
        <v>1</v>
      </c>
      <c r="B5" s="256">
        <v>2</v>
      </c>
      <c r="C5" s="256">
        <v>3</v>
      </c>
      <c r="D5" s="256">
        <v>4</v>
      </c>
      <c r="E5" s="256">
        <v>5</v>
      </c>
      <c r="F5" s="256">
        <v>6</v>
      </c>
      <c r="G5" s="256">
        <v>7</v>
      </c>
      <c r="H5" s="256">
        <v>8</v>
      </c>
      <c r="I5" s="256">
        <v>9</v>
      </c>
      <c r="J5" s="256">
        <v>10</v>
      </c>
      <c r="K5" s="256">
        <v>11</v>
      </c>
      <c r="L5" s="256">
        <v>12</v>
      </c>
      <c r="M5" s="256">
        <v>13</v>
      </c>
      <c r="N5" s="256">
        <v>14</v>
      </c>
      <c r="O5" s="256">
        <v>15</v>
      </c>
      <c r="P5" s="256">
        <v>16</v>
      </c>
      <c r="Q5" s="256">
        <v>17</v>
      </c>
      <c r="R5" s="253">
        <v>18</v>
      </c>
      <c r="S5" s="256">
        <v>19</v>
      </c>
      <c r="T5" s="256">
        <v>20</v>
      </c>
      <c r="U5" s="256">
        <v>21</v>
      </c>
      <c r="V5" s="256">
        <v>22</v>
      </c>
      <c r="W5" s="256">
        <v>23</v>
      </c>
    </row>
    <row r="6" spans="1:23" s="5" customFormat="1">
      <c r="A6" s="3">
        <v>1</v>
      </c>
      <c r="B6" s="4" t="s">
        <v>21</v>
      </c>
      <c r="C6" s="4"/>
      <c r="D6" s="4"/>
      <c r="E6" s="4"/>
      <c r="F6" s="4"/>
      <c r="G6" s="4"/>
      <c r="H6" s="4"/>
      <c r="I6" s="128"/>
      <c r="J6" s="4"/>
      <c r="K6" s="4"/>
      <c r="L6" s="128"/>
      <c r="M6" s="128"/>
      <c r="N6" s="128"/>
      <c r="O6" s="128"/>
      <c r="P6" s="128"/>
      <c r="Q6" s="4"/>
      <c r="R6" s="205"/>
      <c r="S6" s="4"/>
      <c r="T6" s="4"/>
      <c r="U6" s="4"/>
      <c r="V6" s="4"/>
      <c r="W6" s="4"/>
    </row>
    <row r="7" spans="1:23" s="10" customFormat="1">
      <c r="A7" s="6" t="s">
        <v>22</v>
      </c>
      <c r="B7" s="8" t="s">
        <v>23</v>
      </c>
      <c r="C7" s="8">
        <v>2</v>
      </c>
      <c r="D7" s="8">
        <v>2</v>
      </c>
      <c r="E7" s="9">
        <f>E8+E9</f>
        <v>136225.66999999998</v>
      </c>
      <c r="F7" s="8"/>
      <c r="G7" s="8"/>
      <c r="H7" s="8"/>
      <c r="I7" s="9">
        <f>I8+I9</f>
        <v>2100</v>
      </c>
      <c r="J7" s="8"/>
      <c r="K7" s="8"/>
      <c r="L7" s="9">
        <f>L8+L9</f>
        <v>0</v>
      </c>
      <c r="M7" s="9">
        <f t="shared" ref="M7:P7" si="0">M8+M9</f>
        <v>52095.67</v>
      </c>
      <c r="N7" s="9">
        <f t="shared" si="0"/>
        <v>32340</v>
      </c>
      <c r="O7" s="9">
        <f t="shared" si="0"/>
        <v>36790</v>
      </c>
      <c r="P7" s="9">
        <f t="shared" si="0"/>
        <v>15000</v>
      </c>
      <c r="Q7" s="8"/>
      <c r="R7" s="11"/>
      <c r="S7" s="8"/>
      <c r="T7" s="8"/>
      <c r="U7" s="8"/>
      <c r="V7" s="8"/>
      <c r="W7" s="8"/>
    </row>
    <row r="8" spans="1:23" ht="169.5" customHeight="1">
      <c r="A8" s="256" t="s">
        <v>302</v>
      </c>
      <c r="B8" s="14" t="s">
        <v>303</v>
      </c>
      <c r="C8" s="129">
        <v>1</v>
      </c>
      <c r="D8" s="129">
        <v>1</v>
      </c>
      <c r="E8" s="129">
        <f>O8+P8+N8+M8+L8</f>
        <v>119125.67</v>
      </c>
      <c r="F8" s="253" t="s">
        <v>30</v>
      </c>
      <c r="G8" s="253" t="s">
        <v>304</v>
      </c>
      <c r="H8" s="253">
        <v>2018</v>
      </c>
      <c r="I8" s="253"/>
      <c r="J8" s="253">
        <v>2022</v>
      </c>
      <c r="K8" s="253">
        <v>2024</v>
      </c>
      <c r="L8" s="129"/>
      <c r="M8" s="129">
        <v>52095.67</v>
      </c>
      <c r="N8" s="129">
        <v>32340</v>
      </c>
      <c r="O8" s="129">
        <v>34690</v>
      </c>
      <c r="P8" s="12"/>
      <c r="Q8" s="253"/>
      <c r="R8" s="388" t="s">
        <v>305</v>
      </c>
      <c r="S8" s="253" t="s">
        <v>48</v>
      </c>
      <c r="T8" s="130" t="s">
        <v>306</v>
      </c>
      <c r="U8" s="130" t="s">
        <v>307</v>
      </c>
      <c r="V8" s="301" t="s">
        <v>807</v>
      </c>
      <c r="W8" s="12"/>
    </row>
    <row r="9" spans="1:23" ht="223.5" customHeight="1">
      <c r="A9" s="256" t="s">
        <v>308</v>
      </c>
      <c r="B9" s="14" t="s">
        <v>309</v>
      </c>
      <c r="C9" s="129">
        <v>1</v>
      </c>
      <c r="D9" s="129">
        <v>1</v>
      </c>
      <c r="E9" s="129">
        <f>O9+P9+N9+M9+L9</f>
        <v>17100</v>
      </c>
      <c r="F9" s="253" t="s">
        <v>30</v>
      </c>
      <c r="G9" s="253" t="s">
        <v>449</v>
      </c>
      <c r="H9" s="253">
        <v>2024</v>
      </c>
      <c r="I9" s="253">
        <v>2100</v>
      </c>
      <c r="J9" s="253">
        <v>2025</v>
      </c>
      <c r="K9" s="253">
        <v>2025</v>
      </c>
      <c r="L9" s="129"/>
      <c r="M9" s="129"/>
      <c r="N9" s="129"/>
      <c r="O9" s="129">
        <v>2100</v>
      </c>
      <c r="P9" s="129">
        <v>15000</v>
      </c>
      <c r="Q9" s="129"/>
      <c r="R9" s="388" t="s">
        <v>305</v>
      </c>
      <c r="S9" s="253" t="s">
        <v>310</v>
      </c>
      <c r="T9" s="130" t="s">
        <v>311</v>
      </c>
      <c r="U9" s="130" t="s">
        <v>312</v>
      </c>
      <c r="V9" s="301" t="s">
        <v>849</v>
      </c>
      <c r="W9" s="12"/>
    </row>
    <row r="10" spans="1:23" s="10" customFormat="1">
      <c r="A10" s="6" t="s">
        <v>24</v>
      </c>
      <c r="B10" s="8" t="s">
        <v>25</v>
      </c>
      <c r="C10" s="8">
        <f>C11</f>
        <v>42</v>
      </c>
      <c r="D10" s="8">
        <f>D11</f>
        <v>42</v>
      </c>
      <c r="E10" s="8">
        <f>E11</f>
        <v>64834.78</v>
      </c>
      <c r="F10" s="8"/>
      <c r="G10" s="8"/>
      <c r="H10" s="8"/>
      <c r="I10" s="8">
        <f>I11</f>
        <v>0</v>
      </c>
      <c r="J10" s="8"/>
      <c r="K10" s="8"/>
      <c r="L10" s="9">
        <f>L11</f>
        <v>0</v>
      </c>
      <c r="M10" s="9">
        <f t="shared" ref="M10:P10" si="1">M11</f>
        <v>15931.58</v>
      </c>
      <c r="N10" s="9">
        <f t="shared" si="1"/>
        <v>12225.8</v>
      </c>
      <c r="O10" s="9">
        <f t="shared" si="1"/>
        <v>12225.8</v>
      </c>
      <c r="P10" s="9">
        <f t="shared" si="1"/>
        <v>24451.599999999999</v>
      </c>
      <c r="Q10" s="8"/>
      <c r="R10" s="11"/>
      <c r="S10" s="8"/>
      <c r="T10" s="8"/>
      <c r="U10" s="11"/>
      <c r="V10" s="8"/>
      <c r="W10" s="8"/>
    </row>
    <row r="11" spans="1:23" ht="120">
      <c r="A11" s="256" t="s">
        <v>313</v>
      </c>
      <c r="B11" s="14" t="s">
        <v>314</v>
      </c>
      <c r="C11" s="12">
        <v>42</v>
      </c>
      <c r="D11" s="12">
        <v>42</v>
      </c>
      <c r="E11" s="129">
        <f>O11+P11+N11+M11+L11</f>
        <v>64834.78</v>
      </c>
      <c r="F11" s="253" t="s">
        <v>30</v>
      </c>
      <c r="G11" s="253">
        <v>2018</v>
      </c>
      <c r="H11" s="253">
        <v>2018</v>
      </c>
      <c r="I11" s="12"/>
      <c r="J11" s="253">
        <v>2022</v>
      </c>
      <c r="K11" s="253">
        <v>2025</v>
      </c>
      <c r="L11" s="320"/>
      <c r="M11" s="129">
        <v>15931.58</v>
      </c>
      <c r="N11" s="320">
        <v>12225.8</v>
      </c>
      <c r="O11" s="320">
        <v>12225.8</v>
      </c>
      <c r="P11" s="320">
        <v>24451.599999999999</v>
      </c>
      <c r="Q11" s="12"/>
      <c r="R11" s="388" t="s">
        <v>305</v>
      </c>
      <c r="S11" s="253" t="s">
        <v>48</v>
      </c>
      <c r="T11" s="130" t="s">
        <v>315</v>
      </c>
      <c r="U11" s="130" t="s">
        <v>316</v>
      </c>
      <c r="V11" s="301" t="s">
        <v>852</v>
      </c>
      <c r="W11" s="301"/>
    </row>
    <row r="12" spans="1:23" s="10" customFormat="1">
      <c r="A12" s="6" t="s">
        <v>26</v>
      </c>
      <c r="B12" s="8" t="s">
        <v>27</v>
      </c>
      <c r="C12" s="8"/>
      <c r="D12" s="8">
        <f>D13+D14</f>
        <v>19.46</v>
      </c>
      <c r="E12" s="8">
        <f>E13+E14</f>
        <v>17876.3</v>
      </c>
      <c r="F12" s="8"/>
      <c r="G12" s="8"/>
      <c r="H12" s="8"/>
      <c r="I12" s="8">
        <f>I13+I14</f>
        <v>0</v>
      </c>
      <c r="J12" s="8"/>
      <c r="K12" s="8"/>
      <c r="L12" s="9">
        <f>L13+L14</f>
        <v>0</v>
      </c>
      <c r="M12" s="9">
        <f t="shared" ref="M12:P12" si="2">M13+M14</f>
        <v>876.3</v>
      </c>
      <c r="N12" s="9">
        <f t="shared" si="2"/>
        <v>0</v>
      </c>
      <c r="O12" s="9">
        <f t="shared" si="2"/>
        <v>2000</v>
      </c>
      <c r="P12" s="9">
        <f t="shared" si="2"/>
        <v>15000</v>
      </c>
      <c r="Q12" s="8"/>
      <c r="R12" s="11"/>
      <c r="S12" s="8"/>
      <c r="T12" s="8"/>
      <c r="U12" s="8"/>
      <c r="V12" s="8"/>
      <c r="W12" s="8"/>
    </row>
    <row r="13" spans="1:23" ht="120">
      <c r="A13" s="256" t="s">
        <v>317</v>
      </c>
      <c r="B13" s="131" t="s">
        <v>318</v>
      </c>
      <c r="C13" s="385" t="s">
        <v>319</v>
      </c>
      <c r="D13" s="385">
        <v>0.46</v>
      </c>
      <c r="E13" s="129">
        <f>O13+P13+N13+M13+L13</f>
        <v>876.3</v>
      </c>
      <c r="F13" s="253" t="s">
        <v>30</v>
      </c>
      <c r="G13" s="253">
        <v>2018</v>
      </c>
      <c r="H13" s="253">
        <v>2018</v>
      </c>
      <c r="I13" s="12"/>
      <c r="J13" s="253">
        <v>2022</v>
      </c>
      <c r="K13" s="253">
        <v>2022</v>
      </c>
      <c r="L13" s="320"/>
      <c r="M13" s="129">
        <v>876.3</v>
      </c>
      <c r="N13" s="320"/>
      <c r="O13" s="320"/>
      <c r="P13" s="320"/>
      <c r="Q13" s="12"/>
      <c r="R13" s="388" t="s">
        <v>305</v>
      </c>
      <c r="S13" s="12" t="s">
        <v>320</v>
      </c>
      <c r="T13" s="130" t="s">
        <v>315</v>
      </c>
      <c r="U13" s="130" t="s">
        <v>321</v>
      </c>
      <c r="V13" s="301" t="s">
        <v>809</v>
      </c>
      <c r="W13" s="12"/>
    </row>
    <row r="14" spans="1:23" ht="105">
      <c r="A14" s="256" t="s">
        <v>322</v>
      </c>
      <c r="B14" s="131" t="s">
        <v>323</v>
      </c>
      <c r="C14" s="385" t="s">
        <v>324</v>
      </c>
      <c r="D14" s="385">
        <v>19</v>
      </c>
      <c r="E14" s="129">
        <f>O14+P14+N14+M14+L14</f>
        <v>17000</v>
      </c>
      <c r="F14" s="253" t="s">
        <v>30</v>
      </c>
      <c r="G14" s="253">
        <v>2016</v>
      </c>
      <c r="H14" s="253">
        <v>2016</v>
      </c>
      <c r="I14" s="12"/>
      <c r="J14" s="253">
        <v>2024</v>
      </c>
      <c r="K14" s="253">
        <v>2025</v>
      </c>
      <c r="L14" s="320"/>
      <c r="M14" s="320"/>
      <c r="N14" s="320"/>
      <c r="O14" s="129">
        <v>2000</v>
      </c>
      <c r="P14" s="129">
        <v>15000</v>
      </c>
      <c r="Q14" s="12"/>
      <c r="R14" s="388" t="s">
        <v>305</v>
      </c>
      <c r="S14" s="12" t="s">
        <v>325</v>
      </c>
      <c r="T14" s="130" t="s">
        <v>326</v>
      </c>
      <c r="U14" s="130" t="s">
        <v>327</v>
      </c>
      <c r="V14" s="301" t="s">
        <v>811</v>
      </c>
      <c r="W14" s="12"/>
    </row>
    <row r="15" spans="1:23" s="10" customFormat="1">
      <c r="A15" s="6" t="s">
        <v>28</v>
      </c>
      <c r="B15" s="8" t="s">
        <v>29</v>
      </c>
      <c r="C15" s="8"/>
      <c r="D15" s="8">
        <f>D16</f>
        <v>8.9</v>
      </c>
      <c r="E15" s="8">
        <f>E16</f>
        <v>27512.87</v>
      </c>
      <c r="F15" s="8"/>
      <c r="G15" s="8"/>
      <c r="H15" s="8"/>
      <c r="I15" s="8">
        <f>I16</f>
        <v>0</v>
      </c>
      <c r="J15" s="8"/>
      <c r="K15" s="8"/>
      <c r="L15" s="9">
        <f>L16</f>
        <v>27512.87</v>
      </c>
      <c r="M15" s="9">
        <f>M16</f>
        <v>0</v>
      </c>
      <c r="N15" s="9">
        <f>N16</f>
        <v>0</v>
      </c>
      <c r="O15" s="9">
        <f>O16</f>
        <v>0</v>
      </c>
      <c r="P15" s="9">
        <f>P16</f>
        <v>0</v>
      </c>
      <c r="Q15" s="8"/>
      <c r="R15" s="11"/>
      <c r="S15" s="8"/>
      <c r="T15" s="8"/>
      <c r="U15" s="8"/>
      <c r="V15" s="8"/>
      <c r="W15" s="8"/>
    </row>
    <row r="16" spans="1:23" ht="45">
      <c r="A16" s="256" t="s">
        <v>328</v>
      </c>
      <c r="B16" s="131" t="s">
        <v>329</v>
      </c>
      <c r="C16" s="385" t="s">
        <v>330</v>
      </c>
      <c r="D16" s="385">
        <v>8.9</v>
      </c>
      <c r="E16" s="129">
        <f>I16+O16+P16+N16+M16+L16</f>
        <v>27512.87</v>
      </c>
      <c r="F16" s="253" t="s">
        <v>30</v>
      </c>
      <c r="G16" s="253">
        <v>2016</v>
      </c>
      <c r="H16" s="253">
        <v>2016</v>
      </c>
      <c r="I16" s="253"/>
      <c r="J16" s="253">
        <v>2021</v>
      </c>
      <c r="K16" s="253">
        <v>2021</v>
      </c>
      <c r="L16" s="319">
        <v>27512.87</v>
      </c>
      <c r="M16" s="129"/>
      <c r="N16" s="129"/>
      <c r="O16" s="12"/>
      <c r="P16" s="12"/>
      <c r="Q16" s="12"/>
      <c r="R16" s="388" t="s">
        <v>305</v>
      </c>
      <c r="S16" s="12" t="s">
        <v>331</v>
      </c>
      <c r="T16" s="12" t="s">
        <v>31</v>
      </c>
      <c r="U16" s="130" t="s">
        <v>332</v>
      </c>
      <c r="V16" s="301" t="s">
        <v>793</v>
      </c>
      <c r="W16" s="301"/>
    </row>
    <row r="17" spans="1:23">
      <c r="A17" s="164"/>
      <c r="B17" s="539" t="s">
        <v>32</v>
      </c>
      <c r="C17" s="539"/>
      <c r="D17" s="539"/>
      <c r="E17" s="15">
        <f>E15+E12+E10+E7</f>
        <v>246449.62</v>
      </c>
      <c r="F17" s="15"/>
      <c r="G17" s="15"/>
      <c r="H17" s="15"/>
      <c r="I17" s="16">
        <f>I15+I12+I10+I7</f>
        <v>2100</v>
      </c>
      <c r="J17" s="15"/>
      <c r="K17" s="15"/>
      <c r="L17" s="16">
        <f>L15+L12+L10+L7</f>
        <v>27512.87</v>
      </c>
      <c r="M17" s="16">
        <f t="shared" ref="M17:P17" si="3">M15+M12+M10+M7</f>
        <v>68903.55</v>
      </c>
      <c r="N17" s="16">
        <f t="shared" si="3"/>
        <v>44565.8</v>
      </c>
      <c r="O17" s="16">
        <f t="shared" si="3"/>
        <v>51015.8</v>
      </c>
      <c r="P17" s="16">
        <f t="shared" si="3"/>
        <v>54451.6</v>
      </c>
      <c r="Q17" s="15"/>
      <c r="R17" s="18"/>
      <c r="S17" s="15"/>
      <c r="T17" s="15"/>
      <c r="U17" s="15"/>
      <c r="V17" s="15"/>
      <c r="W17" s="15"/>
    </row>
    <row r="18" spans="1:23" s="5" customFormat="1">
      <c r="A18" s="3" t="s">
        <v>33</v>
      </c>
      <c r="B18" s="4" t="s">
        <v>34</v>
      </c>
      <c r="C18" s="4"/>
      <c r="D18" s="4"/>
      <c r="E18" s="4"/>
      <c r="F18" s="4"/>
      <c r="G18" s="4"/>
      <c r="H18" s="4"/>
      <c r="I18" s="4"/>
      <c r="J18" s="4"/>
      <c r="K18" s="4"/>
      <c r="L18" s="128"/>
      <c r="M18" s="128"/>
      <c r="N18" s="128"/>
      <c r="O18" s="128"/>
      <c r="P18" s="128"/>
      <c r="Q18" s="4"/>
      <c r="R18" s="205"/>
      <c r="S18" s="4"/>
      <c r="T18" s="4"/>
      <c r="U18" s="4"/>
      <c r="V18" s="4"/>
      <c r="W18" s="4"/>
    </row>
    <row r="19" spans="1:23" s="10" customFormat="1">
      <c r="A19" s="6" t="s">
        <v>35</v>
      </c>
      <c r="B19" s="8" t="s">
        <v>23</v>
      </c>
      <c r="C19" s="8"/>
      <c r="D19" s="8">
        <f>SUM(D20:D27)</f>
        <v>8</v>
      </c>
      <c r="E19" s="8">
        <f>SUM(E20:E27)</f>
        <v>355475.95</v>
      </c>
      <c r="F19" s="8"/>
      <c r="G19" s="8"/>
      <c r="H19" s="8"/>
      <c r="I19" s="9">
        <f>SUM(I20:I27)</f>
        <v>1035</v>
      </c>
      <c r="J19" s="8"/>
      <c r="K19" s="8"/>
      <c r="L19" s="9">
        <f>SUM(L20:L27)</f>
        <v>45589.009999999995</v>
      </c>
      <c r="M19" s="9">
        <f>SUM(M20:M27)</f>
        <v>49439.08</v>
      </c>
      <c r="N19" s="9">
        <f>SUM(N20:N27)</f>
        <v>77081.86</v>
      </c>
      <c r="O19" s="9">
        <f>SUM(O20:O27)</f>
        <v>119192</v>
      </c>
      <c r="P19" s="9">
        <f>SUM(P20:P27)</f>
        <v>64174</v>
      </c>
      <c r="Q19" s="8"/>
      <c r="R19" s="11"/>
      <c r="S19" s="8"/>
      <c r="T19" s="8"/>
      <c r="U19" s="8"/>
      <c r="V19" s="8"/>
      <c r="W19" s="8"/>
    </row>
    <row r="20" spans="1:23" ht="187.5" customHeight="1">
      <c r="A20" s="256" t="s">
        <v>36</v>
      </c>
      <c r="B20" s="14" t="s">
        <v>440</v>
      </c>
      <c r="C20" s="256">
        <v>1</v>
      </c>
      <c r="D20" s="256">
        <v>1</v>
      </c>
      <c r="E20" s="129">
        <f>I20+O20+P20+N20+M20+L20</f>
        <v>12494.8</v>
      </c>
      <c r="F20" s="253" t="s">
        <v>30</v>
      </c>
      <c r="G20" s="301">
        <v>2020</v>
      </c>
      <c r="H20" s="301">
        <v>2020</v>
      </c>
      <c r="I20" s="301"/>
      <c r="J20" s="301">
        <v>2021</v>
      </c>
      <c r="K20" s="301">
        <v>2021</v>
      </c>
      <c r="L20" s="257">
        <v>12494.8</v>
      </c>
      <c r="M20" s="301"/>
      <c r="N20" s="12"/>
      <c r="O20" s="12"/>
      <c r="P20" s="12"/>
      <c r="Q20" s="129"/>
      <c r="R20" s="388" t="s">
        <v>37</v>
      </c>
      <c r="S20" s="301" t="s">
        <v>38</v>
      </c>
      <c r="T20" s="301" t="s">
        <v>333</v>
      </c>
      <c r="U20" s="130" t="s">
        <v>39</v>
      </c>
      <c r="V20" s="559" t="s">
        <v>810</v>
      </c>
      <c r="W20" s="12"/>
    </row>
    <row r="21" spans="1:23" ht="85.5" customHeight="1">
      <c r="A21" s="259" t="s">
        <v>284</v>
      </c>
      <c r="B21" s="411" t="s">
        <v>441</v>
      </c>
      <c r="C21" s="260">
        <v>1</v>
      </c>
      <c r="D21" s="260">
        <v>1</v>
      </c>
      <c r="E21" s="129">
        <f t="shared" ref="E21" si="4">I21+O21+P21+N21+M21+L21</f>
        <v>33094.21</v>
      </c>
      <c r="F21" s="253" t="s">
        <v>30</v>
      </c>
      <c r="G21" s="301">
        <v>2015</v>
      </c>
      <c r="H21" s="301">
        <v>2015</v>
      </c>
      <c r="I21" s="12"/>
      <c r="J21" s="301">
        <v>2021</v>
      </c>
      <c r="K21" s="301">
        <v>2021</v>
      </c>
      <c r="L21" s="129">
        <v>33094.21</v>
      </c>
      <c r="M21" s="129"/>
      <c r="N21" s="12"/>
      <c r="O21" s="12"/>
      <c r="P21" s="12"/>
      <c r="Q21" s="260"/>
      <c r="R21" s="389" t="s">
        <v>37</v>
      </c>
      <c r="S21" s="260" t="s">
        <v>38</v>
      </c>
      <c r="T21" s="260" t="s">
        <v>334</v>
      </c>
      <c r="U21" s="433" t="s">
        <v>713</v>
      </c>
      <c r="V21" s="562"/>
      <c r="W21" s="12"/>
    </row>
    <row r="22" spans="1:23" ht="263.25" customHeight="1">
      <c r="A22" s="259" t="s">
        <v>335</v>
      </c>
      <c r="B22" s="411" t="s">
        <v>40</v>
      </c>
      <c r="C22" s="260">
        <v>1</v>
      </c>
      <c r="D22" s="260">
        <v>1</v>
      </c>
      <c r="E22" s="129">
        <f t="shared" ref="E22" si="5">O22+P22+N22+M22+L22</f>
        <v>12749.08</v>
      </c>
      <c r="F22" s="253" t="s">
        <v>30</v>
      </c>
      <c r="G22" s="301">
        <v>2014</v>
      </c>
      <c r="H22" s="301">
        <v>2014</v>
      </c>
      <c r="I22" s="12"/>
      <c r="J22" s="301">
        <v>2022</v>
      </c>
      <c r="K22" s="301">
        <v>2022</v>
      </c>
      <c r="L22" s="129"/>
      <c r="M22" s="129">
        <v>12749.08</v>
      </c>
      <c r="N22" s="129"/>
      <c r="O22" s="12"/>
      <c r="P22" s="12"/>
      <c r="Q22" s="260"/>
      <c r="R22" s="559" t="s">
        <v>37</v>
      </c>
      <c r="S22" s="559" t="s">
        <v>41</v>
      </c>
      <c r="T22" s="559" t="s">
        <v>336</v>
      </c>
      <c r="U22" s="555" t="s">
        <v>714</v>
      </c>
      <c r="V22" s="559" t="s">
        <v>794</v>
      </c>
      <c r="W22" s="559"/>
    </row>
    <row r="23" spans="1:23" ht="39.75" customHeight="1">
      <c r="A23" s="256" t="s">
        <v>283</v>
      </c>
      <c r="B23" s="410" t="s">
        <v>446</v>
      </c>
      <c r="C23" s="254">
        <v>1</v>
      </c>
      <c r="D23" s="254">
        <v>1</v>
      </c>
      <c r="E23" s="129">
        <f>O23+P23+N23+M23+L23</f>
        <v>56472</v>
      </c>
      <c r="F23" s="253" t="s">
        <v>47</v>
      </c>
      <c r="G23" s="245">
        <v>2022</v>
      </c>
      <c r="H23" s="245">
        <v>2022</v>
      </c>
      <c r="I23" s="245">
        <v>345</v>
      </c>
      <c r="J23" s="302">
        <v>2023</v>
      </c>
      <c r="K23" s="302">
        <v>2024</v>
      </c>
      <c r="L23" s="302"/>
      <c r="M23" s="380">
        <v>345</v>
      </c>
      <c r="N23" s="254">
        <v>27891</v>
      </c>
      <c r="O23" s="254">
        <v>28236</v>
      </c>
      <c r="P23" s="285"/>
      <c r="Q23" s="12"/>
      <c r="R23" s="560"/>
      <c r="S23" s="560"/>
      <c r="T23" s="560">
        <f>Q26-E24</f>
        <v>-113245.86</v>
      </c>
      <c r="U23" s="556"/>
      <c r="V23" s="560"/>
      <c r="W23" s="560"/>
    </row>
    <row r="24" spans="1:23" ht="60">
      <c r="A24" s="256" t="s">
        <v>337</v>
      </c>
      <c r="B24" s="132" t="s">
        <v>338</v>
      </c>
      <c r="C24" s="129">
        <v>1</v>
      </c>
      <c r="D24" s="129">
        <v>1</v>
      </c>
      <c r="E24" s="129">
        <f t="shared" ref="E24:E25" si="6">O24+P24+N24+M24+L24</f>
        <v>113245.86</v>
      </c>
      <c r="F24" s="253" t="s">
        <v>30</v>
      </c>
      <c r="G24" s="301">
        <v>2018</v>
      </c>
      <c r="H24" s="301">
        <v>2018</v>
      </c>
      <c r="I24" s="12"/>
      <c r="J24" s="301">
        <v>2022</v>
      </c>
      <c r="K24" s="301">
        <v>2025</v>
      </c>
      <c r="L24" s="252"/>
      <c r="M24" s="252">
        <v>36000</v>
      </c>
      <c r="N24" s="333">
        <v>35845.86</v>
      </c>
      <c r="O24" s="129">
        <v>20200</v>
      </c>
      <c r="P24" s="254">
        <v>21200</v>
      </c>
      <c r="Q24" s="129"/>
      <c r="R24" s="388" t="s">
        <v>305</v>
      </c>
      <c r="S24" s="301" t="s">
        <v>754</v>
      </c>
      <c r="T24" s="301" t="s">
        <v>339</v>
      </c>
      <c r="U24" s="17" t="s">
        <v>792</v>
      </c>
      <c r="V24" s="301" t="s">
        <v>795</v>
      </c>
      <c r="W24" s="12"/>
    </row>
    <row r="25" spans="1:23" ht="96" customHeight="1">
      <c r="A25" s="256" t="s">
        <v>340</v>
      </c>
      <c r="B25" s="132" t="s">
        <v>209</v>
      </c>
      <c r="C25" s="129">
        <v>1</v>
      </c>
      <c r="D25" s="129">
        <v>1</v>
      </c>
      <c r="E25" s="129">
        <f t="shared" si="6"/>
        <v>53318</v>
      </c>
      <c r="F25" s="253" t="s">
        <v>30</v>
      </c>
      <c r="G25" s="301">
        <v>2018</v>
      </c>
      <c r="H25" s="301">
        <v>2018</v>
      </c>
      <c r="I25" s="12"/>
      <c r="J25" s="301">
        <v>2023</v>
      </c>
      <c r="K25" s="301">
        <v>2025</v>
      </c>
      <c r="L25" s="12"/>
      <c r="M25" s="129"/>
      <c r="N25" s="129">
        <v>13000</v>
      </c>
      <c r="O25" s="129">
        <v>15000</v>
      </c>
      <c r="P25" s="129">
        <v>25318</v>
      </c>
      <c r="Q25" s="12"/>
      <c r="R25" s="388" t="s">
        <v>305</v>
      </c>
      <c r="S25" s="301" t="s">
        <v>755</v>
      </c>
      <c r="T25" s="301" t="s">
        <v>341</v>
      </c>
      <c r="U25" s="130" t="s">
        <v>756</v>
      </c>
      <c r="V25" s="301" t="s">
        <v>477</v>
      </c>
      <c r="W25" s="12"/>
    </row>
    <row r="26" spans="1:23" ht="276.75" customHeight="1">
      <c r="A26" s="256" t="s">
        <v>342</v>
      </c>
      <c r="B26" s="132" t="s">
        <v>343</v>
      </c>
      <c r="C26" s="129">
        <v>1</v>
      </c>
      <c r="D26" s="129">
        <v>1</v>
      </c>
      <c r="E26" s="129">
        <f>O26+P26+N26+M26+L26</f>
        <v>35357</v>
      </c>
      <c r="F26" s="253" t="s">
        <v>47</v>
      </c>
      <c r="G26" s="301">
        <v>2022</v>
      </c>
      <c r="H26" s="301">
        <v>2022</v>
      </c>
      <c r="I26" s="129">
        <v>345</v>
      </c>
      <c r="J26" s="301">
        <v>2024</v>
      </c>
      <c r="K26" s="301">
        <v>2025</v>
      </c>
      <c r="L26" s="12"/>
      <c r="M26" s="129">
        <v>345</v>
      </c>
      <c r="N26" s="129"/>
      <c r="O26" s="129">
        <v>17356</v>
      </c>
      <c r="P26" s="129">
        <v>17656</v>
      </c>
      <c r="Q26" s="129"/>
      <c r="R26" s="388" t="s">
        <v>748</v>
      </c>
      <c r="S26" s="301" t="s">
        <v>757</v>
      </c>
      <c r="T26" s="301" t="s">
        <v>344</v>
      </c>
      <c r="U26" s="130" t="s">
        <v>722</v>
      </c>
      <c r="V26" s="301" t="s">
        <v>853</v>
      </c>
      <c r="W26" s="12"/>
    </row>
    <row r="27" spans="1:23" ht="150" customHeight="1">
      <c r="A27" s="256" t="s">
        <v>345</v>
      </c>
      <c r="B27" s="132" t="s">
        <v>346</v>
      </c>
      <c r="C27" s="129">
        <v>1</v>
      </c>
      <c r="D27" s="129">
        <v>1</v>
      </c>
      <c r="E27" s="129">
        <f>O27+P27+N27+M27+L27</f>
        <v>38745</v>
      </c>
      <c r="F27" s="253" t="s">
        <v>47</v>
      </c>
      <c r="G27" s="301">
        <v>2023</v>
      </c>
      <c r="H27" s="301">
        <v>2023</v>
      </c>
      <c r="I27" s="129">
        <v>345</v>
      </c>
      <c r="J27" s="301">
        <v>2024</v>
      </c>
      <c r="K27" s="301">
        <v>2024</v>
      </c>
      <c r="L27" s="12"/>
      <c r="M27" s="12"/>
      <c r="N27" s="129">
        <v>345</v>
      </c>
      <c r="O27" s="129">
        <v>38400</v>
      </c>
      <c r="P27" s="129"/>
      <c r="Q27" s="12"/>
      <c r="R27" s="388" t="s">
        <v>305</v>
      </c>
      <c r="S27" s="301" t="s">
        <v>758</v>
      </c>
      <c r="T27" s="301" t="s">
        <v>347</v>
      </c>
      <c r="U27" s="130" t="s">
        <v>723</v>
      </c>
      <c r="V27" s="301" t="s">
        <v>854</v>
      </c>
      <c r="W27" s="12"/>
    </row>
    <row r="28" spans="1:23" s="10" customFormat="1">
      <c r="A28" s="6" t="s">
        <v>42</v>
      </c>
      <c r="B28" s="8" t="s">
        <v>25</v>
      </c>
      <c r="C28" s="8"/>
      <c r="D28" s="8">
        <f>SUM(D29:D40)</f>
        <v>12</v>
      </c>
      <c r="E28" s="9">
        <f>SUM(E29:E40)</f>
        <v>188361.48700000002</v>
      </c>
      <c r="F28" s="8"/>
      <c r="G28" s="8"/>
      <c r="H28" s="8"/>
      <c r="I28" s="9">
        <f>SUM(I29:I40)</f>
        <v>1020</v>
      </c>
      <c r="J28" s="8"/>
      <c r="K28" s="8"/>
      <c r="L28" s="9">
        <f>SUM(L29:L40)</f>
        <v>44519.337</v>
      </c>
      <c r="M28" s="9">
        <f t="shared" ref="M28:P28" si="7">SUM(M29:M40)</f>
        <v>42542.16</v>
      </c>
      <c r="N28" s="9">
        <f t="shared" si="7"/>
        <v>18942</v>
      </c>
      <c r="O28" s="9">
        <f t="shared" si="7"/>
        <v>2845</v>
      </c>
      <c r="P28" s="9">
        <f t="shared" si="7"/>
        <v>79512.989999999991</v>
      </c>
      <c r="Q28" s="8"/>
      <c r="R28" s="206"/>
      <c r="S28" s="8"/>
      <c r="T28" s="8"/>
      <c r="U28" s="8"/>
      <c r="V28" s="8"/>
      <c r="W28" s="8"/>
    </row>
    <row r="29" spans="1:23" ht="105" customHeight="1">
      <c r="A29" s="256" t="s">
        <v>43</v>
      </c>
      <c r="B29" s="14" t="s">
        <v>453</v>
      </c>
      <c r="C29" s="129">
        <v>1</v>
      </c>
      <c r="D29" s="129">
        <v>1</v>
      </c>
      <c r="E29" s="283">
        <f>O29+P29+N29+M29+L29</f>
        <v>10134.36</v>
      </c>
      <c r="F29" s="253" t="s">
        <v>30</v>
      </c>
      <c r="G29" s="301">
        <v>2016</v>
      </c>
      <c r="H29" s="301">
        <v>2016</v>
      </c>
      <c r="I29" s="12"/>
      <c r="J29" s="301">
        <v>2021</v>
      </c>
      <c r="K29" s="301">
        <v>2021</v>
      </c>
      <c r="L29" s="434">
        <v>10134.36</v>
      </c>
      <c r="M29" s="12"/>
      <c r="N29" s="12"/>
      <c r="O29" s="12"/>
      <c r="P29" s="12"/>
      <c r="Q29" s="12"/>
      <c r="R29" s="388" t="s">
        <v>37</v>
      </c>
      <c r="S29" s="301" t="s">
        <v>44</v>
      </c>
      <c r="T29" s="301" t="s">
        <v>349</v>
      </c>
      <c r="U29" s="17" t="s">
        <v>759</v>
      </c>
      <c r="V29" s="301" t="s">
        <v>488</v>
      </c>
      <c r="W29" s="12"/>
    </row>
    <row r="30" spans="1:23" ht="73.5" customHeight="1">
      <c r="A30" s="256" t="s">
        <v>348</v>
      </c>
      <c r="B30" s="14" t="s">
        <v>46</v>
      </c>
      <c r="C30" s="129">
        <v>1</v>
      </c>
      <c r="D30" s="129">
        <v>1</v>
      </c>
      <c r="E30" s="283">
        <f t="shared" ref="E30:E32" si="8">O30+P30+N30+M30+L30</f>
        <v>5710</v>
      </c>
      <c r="F30" s="253" t="s">
        <v>47</v>
      </c>
      <c r="G30" s="245">
        <v>2021</v>
      </c>
      <c r="H30" s="245">
        <v>2021</v>
      </c>
      <c r="I30" s="301">
        <v>210</v>
      </c>
      <c r="J30" s="301">
        <v>2022</v>
      </c>
      <c r="K30" s="301">
        <v>2022</v>
      </c>
      <c r="L30" s="305">
        <v>210</v>
      </c>
      <c r="M30" s="299">
        <v>5500</v>
      </c>
      <c r="N30" s="12"/>
      <c r="O30" s="12"/>
      <c r="P30" s="129"/>
      <c r="Q30" s="129"/>
      <c r="R30" s="388" t="s">
        <v>37</v>
      </c>
      <c r="S30" s="301" t="s">
        <v>493</v>
      </c>
      <c r="T30" s="301" t="s">
        <v>350</v>
      </c>
      <c r="U30" s="17" t="s">
        <v>715</v>
      </c>
      <c r="V30" s="301" t="s">
        <v>796</v>
      </c>
      <c r="W30" s="12"/>
    </row>
    <row r="31" spans="1:23" ht="88.5" customHeight="1">
      <c r="A31" s="256" t="s">
        <v>45</v>
      </c>
      <c r="B31" s="14" t="s">
        <v>50</v>
      </c>
      <c r="C31" s="254">
        <v>1</v>
      </c>
      <c r="D31" s="254">
        <v>1</v>
      </c>
      <c r="E31" s="283">
        <f t="shared" si="8"/>
        <v>19167</v>
      </c>
      <c r="F31" s="253" t="s">
        <v>47</v>
      </c>
      <c r="G31" s="245">
        <v>2022</v>
      </c>
      <c r="H31" s="245">
        <v>2022</v>
      </c>
      <c r="I31" s="254">
        <v>345</v>
      </c>
      <c r="J31" s="245">
        <v>2023</v>
      </c>
      <c r="K31" s="245">
        <v>2023</v>
      </c>
      <c r="L31" s="12"/>
      <c r="M31" s="299">
        <v>345</v>
      </c>
      <c r="N31" s="299">
        <v>18822</v>
      </c>
      <c r="O31" s="254"/>
      <c r="P31" s="254"/>
      <c r="Q31" s="256"/>
      <c r="R31" s="388" t="s">
        <v>37</v>
      </c>
      <c r="S31" s="245" t="s">
        <v>51</v>
      </c>
      <c r="T31" s="245" t="s">
        <v>278</v>
      </c>
      <c r="U31" s="17" t="s">
        <v>52</v>
      </c>
      <c r="V31" s="245" t="s">
        <v>797</v>
      </c>
      <c r="W31" s="436"/>
    </row>
    <row r="32" spans="1:23" ht="119.25" customHeight="1">
      <c r="A32" s="256" t="s">
        <v>351</v>
      </c>
      <c r="B32" s="14" t="s">
        <v>454</v>
      </c>
      <c r="C32" s="254">
        <v>1</v>
      </c>
      <c r="D32" s="254">
        <v>1</v>
      </c>
      <c r="E32" s="283">
        <f t="shared" si="8"/>
        <v>10810.357</v>
      </c>
      <c r="F32" s="245" t="s">
        <v>30</v>
      </c>
      <c r="G32" s="245">
        <v>2018</v>
      </c>
      <c r="H32" s="245">
        <v>2018</v>
      </c>
      <c r="I32" s="254"/>
      <c r="J32" s="245">
        <v>2021</v>
      </c>
      <c r="K32" s="245">
        <v>2021</v>
      </c>
      <c r="L32" s="318">
        <v>10810.357</v>
      </c>
      <c r="M32" s="254"/>
      <c r="N32" s="12"/>
      <c r="P32" s="318"/>
      <c r="Q32" s="256"/>
      <c r="R32" s="388" t="s">
        <v>37</v>
      </c>
      <c r="S32" s="245" t="s">
        <v>53</v>
      </c>
      <c r="T32" s="245" t="s">
        <v>279</v>
      </c>
      <c r="U32" s="17" t="s">
        <v>716</v>
      </c>
      <c r="V32" s="245" t="s">
        <v>478</v>
      </c>
      <c r="W32" s="436"/>
    </row>
    <row r="33" spans="1:23" ht="281.25" customHeight="1">
      <c r="A33" s="257" t="s">
        <v>352</v>
      </c>
      <c r="B33" s="409" t="s">
        <v>54</v>
      </c>
      <c r="C33" s="254">
        <v>1</v>
      </c>
      <c r="D33" s="254">
        <v>1</v>
      </c>
      <c r="E33" s="319">
        <f>O33+P33+N33+M33+L33</f>
        <v>23173.5</v>
      </c>
      <c r="F33" s="245" t="s">
        <v>47</v>
      </c>
      <c r="G33" s="331">
        <v>2020</v>
      </c>
      <c r="H33" s="331">
        <v>2020</v>
      </c>
      <c r="I33" s="254"/>
      <c r="J33" s="245">
        <v>2021</v>
      </c>
      <c r="K33" s="245">
        <v>2022</v>
      </c>
      <c r="L33" s="284">
        <v>11586.75</v>
      </c>
      <c r="M33" s="284">
        <v>11586.75</v>
      </c>
      <c r="N33" s="284"/>
      <c r="O33" s="284"/>
      <c r="P33" s="284"/>
      <c r="Q33" s="256"/>
      <c r="R33" s="388" t="s">
        <v>305</v>
      </c>
      <c r="S33" s="245" t="s">
        <v>55</v>
      </c>
      <c r="T33" s="245" t="s">
        <v>280</v>
      </c>
      <c r="U33" s="17" t="s">
        <v>717</v>
      </c>
      <c r="V33" s="245" t="s">
        <v>798</v>
      </c>
      <c r="W33" s="436"/>
    </row>
    <row r="34" spans="1:23" ht="114" customHeight="1">
      <c r="A34" s="331" t="s">
        <v>49</v>
      </c>
      <c r="B34" s="188" t="s">
        <v>447</v>
      </c>
      <c r="C34" s="254">
        <v>1</v>
      </c>
      <c r="D34" s="254">
        <v>1</v>
      </c>
      <c r="E34" s="319">
        <f t="shared" ref="E34:E40" si="9">O34+P34+N34+M34+L34</f>
        <v>11777.87</v>
      </c>
      <c r="F34" s="245" t="s">
        <v>30</v>
      </c>
      <c r="G34" s="245">
        <v>2018</v>
      </c>
      <c r="H34" s="245">
        <v>2018</v>
      </c>
      <c r="I34" s="254"/>
      <c r="J34" s="245">
        <v>2021</v>
      </c>
      <c r="K34" s="245">
        <v>2021</v>
      </c>
      <c r="L34" s="384">
        <v>11777.87</v>
      </c>
      <c r="M34" s="284"/>
      <c r="N34" s="287"/>
      <c r="O34" s="288"/>
      <c r="P34" s="288"/>
      <c r="Q34" s="256"/>
      <c r="R34" s="388" t="s">
        <v>305</v>
      </c>
      <c r="S34" s="245" t="s">
        <v>490</v>
      </c>
      <c r="T34" s="245" t="s">
        <v>491</v>
      </c>
      <c r="U34" s="17" t="s">
        <v>442</v>
      </c>
      <c r="V34" s="12" t="s">
        <v>479</v>
      </c>
      <c r="W34" s="436"/>
    </row>
    <row r="35" spans="1:23" ht="112.5" customHeight="1">
      <c r="A35" s="165" t="s">
        <v>397</v>
      </c>
      <c r="B35" s="188" t="s">
        <v>448</v>
      </c>
      <c r="C35" s="254">
        <v>1</v>
      </c>
      <c r="D35" s="254">
        <v>1</v>
      </c>
      <c r="E35" s="283">
        <f t="shared" si="9"/>
        <v>16637.11</v>
      </c>
      <c r="F35" s="245" t="s">
        <v>30</v>
      </c>
      <c r="G35" s="245">
        <v>2018</v>
      </c>
      <c r="H35" s="245">
        <v>2018</v>
      </c>
      <c r="I35" s="254"/>
      <c r="J35" s="245">
        <v>2022</v>
      </c>
      <c r="K35" s="245">
        <v>2022</v>
      </c>
      <c r="L35" s="245"/>
      <c r="M35" s="284">
        <v>16637.11</v>
      </c>
      <c r="N35" s="284"/>
      <c r="O35" s="245"/>
      <c r="P35" s="288"/>
      <c r="Q35" s="256"/>
      <c r="R35" s="388" t="s">
        <v>37</v>
      </c>
      <c r="S35" s="245" t="s">
        <v>55</v>
      </c>
      <c r="T35" s="245" t="s">
        <v>492</v>
      </c>
      <c r="U35" s="17" t="s">
        <v>753</v>
      </c>
      <c r="V35" s="12" t="s">
        <v>391</v>
      </c>
      <c r="W35" s="436"/>
    </row>
    <row r="36" spans="1:23" ht="120" customHeight="1">
      <c r="A36" s="165" t="s">
        <v>486</v>
      </c>
      <c r="B36" s="189" t="s">
        <v>483</v>
      </c>
      <c r="C36" s="254">
        <v>1</v>
      </c>
      <c r="D36" s="254">
        <v>1</v>
      </c>
      <c r="E36" s="283">
        <f t="shared" si="9"/>
        <v>8473.2999999999993</v>
      </c>
      <c r="F36" s="245" t="s">
        <v>30</v>
      </c>
      <c r="G36" s="245">
        <v>2018</v>
      </c>
      <c r="H36" s="245">
        <v>2018</v>
      </c>
      <c r="I36" s="254"/>
      <c r="J36" s="245">
        <v>2022</v>
      </c>
      <c r="K36" s="245">
        <v>2022</v>
      </c>
      <c r="L36" s="384"/>
      <c r="M36" s="384">
        <v>8473.2999999999993</v>
      </c>
      <c r="N36" s="288"/>
      <c r="O36" s="284"/>
      <c r="P36" s="289"/>
      <c r="Q36" s="256"/>
      <c r="R36" s="388" t="s">
        <v>305</v>
      </c>
      <c r="S36" s="245" t="s">
        <v>493</v>
      </c>
      <c r="T36" s="245" t="s">
        <v>494</v>
      </c>
      <c r="U36" s="17" t="s">
        <v>718</v>
      </c>
      <c r="V36" s="12" t="s">
        <v>799</v>
      </c>
      <c r="W36" s="436"/>
    </row>
    <row r="37" spans="1:23" ht="90">
      <c r="A37" s="165" t="s">
        <v>398</v>
      </c>
      <c r="B37" s="303" t="s">
        <v>842</v>
      </c>
      <c r="C37" s="254">
        <v>1</v>
      </c>
      <c r="D37" s="254">
        <v>1</v>
      </c>
      <c r="E37" s="283">
        <f t="shared" si="9"/>
        <v>23957.23</v>
      </c>
      <c r="F37" s="245" t="s">
        <v>30</v>
      </c>
      <c r="G37" s="245">
        <v>2018</v>
      </c>
      <c r="H37" s="245">
        <v>2018</v>
      </c>
      <c r="I37" s="254"/>
      <c r="J37" s="245">
        <v>2025</v>
      </c>
      <c r="K37" s="245">
        <v>2025</v>
      </c>
      <c r="L37" s="12"/>
      <c r="M37" s="284"/>
      <c r="N37" s="284"/>
      <c r="O37" s="323"/>
      <c r="P37" s="325">
        <v>23957.23</v>
      </c>
      <c r="Q37" s="256"/>
      <c r="R37" s="388" t="s">
        <v>37</v>
      </c>
      <c r="S37" s="245" t="s">
        <v>490</v>
      </c>
      <c r="T37" s="245" t="s">
        <v>498</v>
      </c>
      <c r="U37" s="17" t="s">
        <v>455</v>
      </c>
      <c r="V37" s="12" t="s">
        <v>812</v>
      </c>
      <c r="W37" s="436"/>
    </row>
    <row r="38" spans="1:23" ht="87" customHeight="1">
      <c r="A38" s="165" t="s">
        <v>399</v>
      </c>
      <c r="B38" s="303" t="s">
        <v>484</v>
      </c>
      <c r="C38" s="254">
        <v>1</v>
      </c>
      <c r="D38" s="254">
        <v>1</v>
      </c>
      <c r="E38" s="283">
        <f t="shared" si="9"/>
        <v>19550.59</v>
      </c>
      <c r="F38" s="245" t="s">
        <v>30</v>
      </c>
      <c r="G38" s="245">
        <v>2018</v>
      </c>
      <c r="H38" s="245">
        <v>2018</v>
      </c>
      <c r="I38" s="254"/>
      <c r="J38" s="245">
        <v>2025</v>
      </c>
      <c r="K38" s="245">
        <v>2025</v>
      </c>
      <c r="L38" s="12"/>
      <c r="M38" s="284"/>
      <c r="N38" s="307"/>
      <c r="O38" s="323"/>
      <c r="P38" s="435">
        <v>19550.59</v>
      </c>
      <c r="Q38" s="256"/>
      <c r="R38" s="544" t="s">
        <v>37</v>
      </c>
      <c r="S38" s="245" t="s">
        <v>493</v>
      </c>
      <c r="T38" s="245" t="s">
        <v>497</v>
      </c>
      <c r="U38" s="17" t="s">
        <v>456</v>
      </c>
      <c r="V38" s="12" t="s">
        <v>800</v>
      </c>
      <c r="W38" s="436"/>
    </row>
    <row r="39" spans="1:23" ht="78.75" customHeight="1">
      <c r="A39" s="165" t="s">
        <v>400</v>
      </c>
      <c r="B39" s="308" t="s">
        <v>434</v>
      </c>
      <c r="C39" s="254">
        <v>1</v>
      </c>
      <c r="D39" s="254">
        <v>1</v>
      </c>
      <c r="E39" s="283">
        <f t="shared" si="9"/>
        <v>18620</v>
      </c>
      <c r="F39" s="245" t="s">
        <v>47</v>
      </c>
      <c r="G39" s="245">
        <v>2023</v>
      </c>
      <c r="H39" s="245">
        <v>2023</v>
      </c>
      <c r="I39" s="254">
        <v>120</v>
      </c>
      <c r="J39" s="245">
        <v>2024</v>
      </c>
      <c r="K39" s="245">
        <v>2025</v>
      </c>
      <c r="L39" s="245"/>
      <c r="M39" s="284"/>
      <c r="N39" s="324">
        <v>120</v>
      </c>
      <c r="O39" s="284">
        <v>2500</v>
      </c>
      <c r="P39" s="324">
        <v>16000</v>
      </c>
      <c r="Q39" s="256"/>
      <c r="R39" s="544"/>
      <c r="S39" s="245" t="s">
        <v>760</v>
      </c>
      <c r="T39" s="245" t="s">
        <v>495</v>
      </c>
      <c r="U39" s="17" t="s">
        <v>496</v>
      </c>
      <c r="V39" s="12" t="s">
        <v>850</v>
      </c>
      <c r="W39" s="436"/>
    </row>
    <row r="40" spans="1:23" ht="231" customHeight="1">
      <c r="A40" s="165" t="s">
        <v>401</v>
      </c>
      <c r="B40" s="409" t="s">
        <v>56</v>
      </c>
      <c r="C40" s="254">
        <v>1</v>
      </c>
      <c r="D40" s="254">
        <v>1</v>
      </c>
      <c r="E40" s="283">
        <f t="shared" si="9"/>
        <v>20350.169999999998</v>
      </c>
      <c r="F40" s="245" t="s">
        <v>47</v>
      </c>
      <c r="G40" s="245">
        <v>2024</v>
      </c>
      <c r="H40" s="245">
        <v>2024</v>
      </c>
      <c r="I40" s="254">
        <v>345</v>
      </c>
      <c r="J40" s="245">
        <v>2025</v>
      </c>
      <c r="K40" s="245">
        <v>2025</v>
      </c>
      <c r="L40" s="12"/>
      <c r="M40" s="254"/>
      <c r="N40" s="284"/>
      <c r="O40" s="254">
        <v>345</v>
      </c>
      <c r="P40" s="384">
        <v>20005.169999999998</v>
      </c>
      <c r="Q40" s="256"/>
      <c r="R40" s="388" t="s">
        <v>37</v>
      </c>
      <c r="S40" s="245" t="s">
        <v>55</v>
      </c>
      <c r="T40" s="245" t="s">
        <v>281</v>
      </c>
      <c r="U40" s="17" t="s">
        <v>719</v>
      </c>
      <c r="V40" s="245" t="s">
        <v>801</v>
      </c>
      <c r="W40" s="436"/>
    </row>
    <row r="41" spans="1:23" s="10" customFormat="1">
      <c r="A41" s="6" t="s">
        <v>57</v>
      </c>
      <c r="B41" s="8" t="s">
        <v>27</v>
      </c>
      <c r="C41" s="8"/>
      <c r="D41" s="8"/>
      <c r="E41" s="9">
        <f>O41+P41+N41+M41+L41</f>
        <v>600</v>
      </c>
      <c r="F41" s="8"/>
      <c r="G41" s="8"/>
      <c r="H41" s="8"/>
      <c r="I41" s="9">
        <f>I42</f>
        <v>600</v>
      </c>
      <c r="J41" s="9">
        <f t="shared" ref="J41:O41" si="10">J42</f>
        <v>0</v>
      </c>
      <c r="K41" s="9">
        <f t="shared" si="10"/>
        <v>0</v>
      </c>
      <c r="L41" s="9">
        <f t="shared" si="10"/>
        <v>0</v>
      </c>
      <c r="M41" s="9">
        <f t="shared" si="10"/>
        <v>0</v>
      </c>
      <c r="N41" s="9">
        <f t="shared" si="10"/>
        <v>0</v>
      </c>
      <c r="O41" s="9">
        <f t="shared" si="10"/>
        <v>600</v>
      </c>
      <c r="P41" s="9"/>
      <c r="Q41" s="8"/>
      <c r="R41" s="11"/>
      <c r="S41" s="8"/>
      <c r="T41" s="8"/>
      <c r="U41" s="8"/>
      <c r="V41" s="8"/>
      <c r="W41" s="8"/>
    </row>
    <row r="42" spans="1:23" ht="45">
      <c r="A42" s="256" t="s">
        <v>58</v>
      </c>
      <c r="B42" s="14" t="s">
        <v>353</v>
      </c>
      <c r="C42" s="385">
        <v>1.65</v>
      </c>
      <c r="D42" s="385">
        <v>2</v>
      </c>
      <c r="E42" s="129">
        <f>O42+P42+N42+M42+L42</f>
        <v>600</v>
      </c>
      <c r="F42" s="385" t="s">
        <v>47</v>
      </c>
      <c r="G42" s="385">
        <v>2024</v>
      </c>
      <c r="H42" s="385">
        <v>2024</v>
      </c>
      <c r="I42" s="386">
        <v>600</v>
      </c>
      <c r="J42" s="12"/>
      <c r="K42" s="12"/>
      <c r="L42" s="12"/>
      <c r="M42" s="12"/>
      <c r="N42" s="12"/>
      <c r="O42" s="385">
        <v>600</v>
      </c>
      <c r="P42" s="12"/>
      <c r="Q42" s="12"/>
      <c r="R42" s="388" t="s">
        <v>505</v>
      </c>
      <c r="S42" s="301" t="s">
        <v>41</v>
      </c>
      <c r="T42" s="18" t="s">
        <v>390</v>
      </c>
      <c r="U42" s="130" t="s">
        <v>389</v>
      </c>
      <c r="V42" s="12" t="s">
        <v>811</v>
      </c>
      <c r="W42" s="12"/>
    </row>
    <row r="43" spans="1:23" s="10" customFormat="1">
      <c r="A43" s="6" t="s">
        <v>61</v>
      </c>
      <c r="B43" s="8" t="s">
        <v>29</v>
      </c>
      <c r="C43" s="8">
        <f>SUM(C44:C49)</f>
        <v>121.22</v>
      </c>
      <c r="D43" s="8">
        <f>SUM(D44:D49)</f>
        <v>89</v>
      </c>
      <c r="E43" s="8">
        <f>O43+P43+N43+M43+L43</f>
        <v>116897.31</v>
      </c>
      <c r="F43" s="8"/>
      <c r="G43" s="8"/>
      <c r="H43" s="8"/>
      <c r="I43" s="9">
        <f>SUM(I44:I49)</f>
        <v>1817</v>
      </c>
      <c r="J43" s="8"/>
      <c r="K43" s="8"/>
      <c r="L43" s="9">
        <f>SUM(L44:L49)</f>
        <v>21864.53</v>
      </c>
      <c r="M43" s="9">
        <f t="shared" ref="M43:P43" si="11">SUM(M44:M49)</f>
        <v>5800.95</v>
      </c>
      <c r="N43" s="9">
        <f t="shared" si="11"/>
        <v>42152.47</v>
      </c>
      <c r="O43" s="9">
        <f t="shared" si="11"/>
        <v>23180.42</v>
      </c>
      <c r="P43" s="9">
        <f t="shared" si="11"/>
        <v>23898.94</v>
      </c>
      <c r="Q43" s="8"/>
      <c r="R43" s="11"/>
      <c r="S43" s="8"/>
      <c r="T43" s="8"/>
      <c r="U43" s="8"/>
      <c r="V43" s="8"/>
      <c r="W43" s="8"/>
    </row>
    <row r="44" spans="1:23" ht="93" customHeight="1">
      <c r="A44" s="256" t="s">
        <v>354</v>
      </c>
      <c r="B44" s="14" t="s">
        <v>355</v>
      </c>
      <c r="C44" s="253">
        <v>17.2</v>
      </c>
      <c r="D44" s="253">
        <v>1</v>
      </c>
      <c r="E44" s="129">
        <f>O44+P44+N44+M44+L44</f>
        <v>19005.759999999998</v>
      </c>
      <c r="F44" s="253" t="s">
        <v>47</v>
      </c>
      <c r="G44" s="129">
        <v>2022</v>
      </c>
      <c r="H44" s="129">
        <v>2022</v>
      </c>
      <c r="I44" s="129">
        <v>667</v>
      </c>
      <c r="J44" s="129">
        <v>2023</v>
      </c>
      <c r="K44" s="129">
        <v>2023</v>
      </c>
      <c r="L44" s="256"/>
      <c r="M44" s="129">
        <v>667</v>
      </c>
      <c r="N44" s="129">
        <v>18338.759999999998</v>
      </c>
      <c r="O44" s="129"/>
      <c r="P44" s="132"/>
      <c r="Q44" s="12"/>
      <c r="R44" s="301" t="s">
        <v>305</v>
      </c>
      <c r="S44" s="301" t="s">
        <v>41</v>
      </c>
      <c r="T44" s="301" t="s">
        <v>356</v>
      </c>
      <c r="U44" s="130" t="s">
        <v>357</v>
      </c>
      <c r="V44" s="301" t="s">
        <v>802</v>
      </c>
      <c r="W44" s="12"/>
    </row>
    <row r="45" spans="1:23" ht="270">
      <c r="A45" s="256" t="s">
        <v>358</v>
      </c>
      <c r="B45" s="14" t="s">
        <v>359</v>
      </c>
      <c r="C45" s="253">
        <v>17.82</v>
      </c>
      <c r="D45" s="253">
        <v>1</v>
      </c>
      <c r="E45" s="129">
        <f t="shared" ref="E45:E49" si="12">O45+P45+N45+M45+L45</f>
        <v>21864.53</v>
      </c>
      <c r="F45" s="253" t="s">
        <v>30</v>
      </c>
      <c r="G45" s="129">
        <v>2019</v>
      </c>
      <c r="H45" s="129">
        <v>2019</v>
      </c>
      <c r="I45" s="12"/>
      <c r="J45" s="129">
        <v>2021</v>
      </c>
      <c r="K45" s="129">
        <v>2021</v>
      </c>
      <c r="L45" s="129">
        <v>21864.53</v>
      </c>
      <c r="M45" s="129"/>
      <c r="N45" s="129"/>
      <c r="O45" s="129"/>
      <c r="P45" s="320"/>
      <c r="Q45" s="12"/>
      <c r="R45" s="301" t="s">
        <v>305</v>
      </c>
      <c r="S45" s="301" t="s">
        <v>41</v>
      </c>
      <c r="T45" s="301" t="s">
        <v>360</v>
      </c>
      <c r="U45" s="130" t="s">
        <v>361</v>
      </c>
      <c r="V45" s="301" t="s">
        <v>802</v>
      </c>
      <c r="W45" s="12"/>
    </row>
    <row r="46" spans="1:23" ht="88.5" customHeight="1">
      <c r="A46" s="256" t="s">
        <v>362</v>
      </c>
      <c r="B46" s="132" t="s">
        <v>363</v>
      </c>
      <c r="C46" s="253" t="s">
        <v>364</v>
      </c>
      <c r="D46" s="253">
        <v>2</v>
      </c>
      <c r="E46" s="129">
        <f t="shared" si="12"/>
        <v>7441.54</v>
      </c>
      <c r="F46" s="253" t="s">
        <v>47</v>
      </c>
      <c r="G46" s="129">
        <v>2022</v>
      </c>
      <c r="H46" s="129">
        <v>2022</v>
      </c>
      <c r="I46" s="129">
        <v>550</v>
      </c>
      <c r="J46" s="129">
        <v>2024</v>
      </c>
      <c r="K46" s="129">
        <v>2024</v>
      </c>
      <c r="L46" s="129"/>
      <c r="M46" s="256">
        <v>550</v>
      </c>
      <c r="N46" s="129"/>
      <c r="O46" s="129">
        <v>6891.54</v>
      </c>
      <c r="P46" s="129"/>
      <c r="Q46" s="130"/>
      <c r="R46" s="301" t="s">
        <v>37</v>
      </c>
      <c r="S46" s="301" t="s">
        <v>41</v>
      </c>
      <c r="T46" s="301" t="s">
        <v>365</v>
      </c>
      <c r="U46" s="130" t="s">
        <v>366</v>
      </c>
      <c r="V46" s="301" t="s">
        <v>808</v>
      </c>
      <c r="W46" s="12"/>
    </row>
    <row r="47" spans="1:23" ht="90" customHeight="1">
      <c r="A47" s="256" t="s">
        <v>367</v>
      </c>
      <c r="B47" s="132" t="s">
        <v>724</v>
      </c>
      <c r="C47" s="253">
        <v>2.2000000000000002</v>
      </c>
      <c r="D47" s="253">
        <v>1</v>
      </c>
      <c r="E47" s="129">
        <f t="shared" si="12"/>
        <v>2496.6</v>
      </c>
      <c r="F47" s="253" t="s">
        <v>47</v>
      </c>
      <c r="G47" s="129">
        <v>2022</v>
      </c>
      <c r="H47" s="129">
        <v>2022</v>
      </c>
      <c r="I47" s="129">
        <v>600</v>
      </c>
      <c r="J47" s="129">
        <v>2024</v>
      </c>
      <c r="K47" s="129">
        <v>2024</v>
      </c>
      <c r="L47" s="129"/>
      <c r="M47" s="116">
        <v>600</v>
      </c>
      <c r="N47" s="256"/>
      <c r="O47" s="129">
        <v>1896.6</v>
      </c>
      <c r="P47" s="129"/>
      <c r="Q47" s="12"/>
      <c r="R47" s="301" t="s">
        <v>505</v>
      </c>
      <c r="S47" s="301" t="s">
        <v>41</v>
      </c>
      <c r="T47" s="301" t="s">
        <v>368</v>
      </c>
      <c r="U47" s="130" t="s">
        <v>369</v>
      </c>
      <c r="V47" s="301" t="s">
        <v>808</v>
      </c>
      <c r="W47" s="12"/>
    </row>
    <row r="48" spans="1:23" ht="120">
      <c r="A48" s="256" t="s">
        <v>370</v>
      </c>
      <c r="B48" s="131" t="s">
        <v>371</v>
      </c>
      <c r="C48" s="253">
        <v>4</v>
      </c>
      <c r="D48" s="253">
        <v>4</v>
      </c>
      <c r="E48" s="129">
        <f t="shared" si="12"/>
        <v>5200</v>
      </c>
      <c r="F48" s="253" t="s">
        <v>30</v>
      </c>
      <c r="G48" s="253">
        <v>2018</v>
      </c>
      <c r="H48" s="253">
        <v>2018</v>
      </c>
      <c r="I48" s="12"/>
      <c r="J48" s="253">
        <v>2022</v>
      </c>
      <c r="K48" s="253">
        <v>2023</v>
      </c>
      <c r="L48" s="12"/>
      <c r="M48" s="129">
        <v>2600</v>
      </c>
      <c r="N48" s="129">
        <v>2600</v>
      </c>
      <c r="O48" s="12"/>
      <c r="P48" s="12"/>
      <c r="Q48" s="12"/>
      <c r="R48" s="301" t="s">
        <v>305</v>
      </c>
      <c r="S48" s="301" t="s">
        <v>48</v>
      </c>
      <c r="T48" s="326" t="s">
        <v>372</v>
      </c>
      <c r="U48" s="130" t="s">
        <v>373</v>
      </c>
      <c r="V48" s="301" t="s">
        <v>855</v>
      </c>
      <c r="W48" s="12"/>
    </row>
    <row r="49" spans="1:23" ht="120">
      <c r="A49" s="256" t="s">
        <v>374</v>
      </c>
      <c r="B49" s="131" t="s">
        <v>375</v>
      </c>
      <c r="C49" s="253">
        <v>80</v>
      </c>
      <c r="D49" s="253">
        <v>80</v>
      </c>
      <c r="E49" s="129">
        <f t="shared" si="12"/>
        <v>60888.88</v>
      </c>
      <c r="F49" s="253" t="s">
        <v>30</v>
      </c>
      <c r="G49" s="253">
        <v>2018</v>
      </c>
      <c r="H49" s="253">
        <v>2018</v>
      </c>
      <c r="I49" s="12"/>
      <c r="J49" s="253">
        <v>2022</v>
      </c>
      <c r="K49" s="253">
        <v>2025</v>
      </c>
      <c r="L49" s="320"/>
      <c r="M49" s="129">
        <v>1383.95</v>
      </c>
      <c r="N49" s="129">
        <v>21213.71</v>
      </c>
      <c r="O49" s="129">
        <v>14392.28</v>
      </c>
      <c r="P49" s="129">
        <v>23898.94</v>
      </c>
      <c r="Q49" s="12"/>
      <c r="R49" s="301" t="s">
        <v>305</v>
      </c>
      <c r="S49" s="301" t="s">
        <v>48</v>
      </c>
      <c r="T49" s="326" t="s">
        <v>372</v>
      </c>
      <c r="U49" s="130" t="s">
        <v>373</v>
      </c>
      <c r="V49" s="301" t="s">
        <v>855</v>
      </c>
      <c r="W49" s="12"/>
    </row>
    <row r="50" spans="1:23">
      <c r="A50" s="164"/>
      <c r="B50" s="557" t="s">
        <v>62</v>
      </c>
      <c r="C50" s="557"/>
      <c r="D50" s="557"/>
      <c r="E50" s="16">
        <f>E43+E41+E28+E19</f>
        <v>661334.74699999997</v>
      </c>
      <c r="F50" s="15"/>
      <c r="G50" s="15"/>
      <c r="H50" s="15"/>
      <c r="I50" s="16">
        <f>I43+I41+I28+I19</f>
        <v>4472</v>
      </c>
      <c r="J50" s="15"/>
      <c r="K50" s="15"/>
      <c r="L50" s="16">
        <f>L43+L41+L28+L19</f>
        <v>111972.87699999999</v>
      </c>
      <c r="M50" s="16">
        <f>M43+M41+M28+M19</f>
        <v>97782.19</v>
      </c>
      <c r="N50" s="16">
        <f>N43+N41+N28+N19</f>
        <v>138176.33000000002</v>
      </c>
      <c r="O50" s="16">
        <f>O43+O41+O28+O19</f>
        <v>145817.41999999998</v>
      </c>
      <c r="P50" s="16">
        <f>P43+P41+P28+P19</f>
        <v>167585.93</v>
      </c>
      <c r="Q50" s="15"/>
      <c r="R50" s="206"/>
      <c r="S50" s="327"/>
      <c r="T50" s="327"/>
      <c r="U50" s="15"/>
      <c r="V50" s="15"/>
      <c r="W50" s="15"/>
    </row>
    <row r="51" spans="1:23">
      <c r="A51" s="164"/>
      <c r="B51" s="557" t="s">
        <v>63</v>
      </c>
      <c r="C51" s="557"/>
      <c r="D51" s="557"/>
      <c r="E51" s="16">
        <f>E50+E17</f>
        <v>907784.36699999997</v>
      </c>
      <c r="F51" s="15"/>
      <c r="G51" s="15"/>
      <c r="H51" s="15"/>
      <c r="I51" s="16">
        <f>I50+I17</f>
        <v>6572</v>
      </c>
      <c r="J51" s="15"/>
      <c r="K51" s="15"/>
      <c r="L51" s="16">
        <f>L50+L17</f>
        <v>139485.747</v>
      </c>
      <c r="M51" s="16">
        <f>M50+M17</f>
        <v>166685.74</v>
      </c>
      <c r="N51" s="16">
        <f>N50+N17</f>
        <v>182742.13</v>
      </c>
      <c r="O51" s="16">
        <f>O50+O17</f>
        <v>196833.21999999997</v>
      </c>
      <c r="P51" s="16">
        <f>P50+P17</f>
        <v>222037.53</v>
      </c>
      <c r="Q51" s="15"/>
      <c r="R51" s="206"/>
      <c r="S51" s="15"/>
      <c r="T51" s="15"/>
      <c r="U51" s="15"/>
      <c r="V51" s="15"/>
      <c r="W51" s="15"/>
    </row>
    <row r="52" spans="1:23" s="5" customFormat="1">
      <c r="A52" s="3" t="s">
        <v>64</v>
      </c>
      <c r="B52" s="20" t="s">
        <v>65</v>
      </c>
      <c r="C52" s="20"/>
      <c r="D52" s="20"/>
      <c r="E52" s="20"/>
      <c r="F52" s="20"/>
      <c r="G52" s="20"/>
      <c r="H52" s="20"/>
      <c r="I52" s="20"/>
      <c r="J52" s="20"/>
      <c r="K52" s="20"/>
      <c r="L52" s="21"/>
      <c r="M52" s="21"/>
      <c r="N52" s="21"/>
      <c r="O52" s="21"/>
      <c r="P52" s="21"/>
      <c r="Q52" s="20"/>
      <c r="R52" s="207"/>
      <c r="S52" s="20"/>
      <c r="T52" s="21"/>
      <c r="U52" s="20"/>
      <c r="V52" s="21"/>
      <c r="W52" s="20"/>
    </row>
    <row r="53" spans="1:23" ht="15" customHeight="1">
      <c r="A53" s="256" t="s">
        <v>66</v>
      </c>
      <c r="B53" s="29" t="s">
        <v>67</v>
      </c>
      <c r="C53" s="29"/>
      <c r="D53" s="29"/>
      <c r="E53" s="129">
        <f t="shared" ref="E53:E67" si="13">O53+P53+N53+M53+L53</f>
        <v>0</v>
      </c>
      <c r="F53" s="196"/>
      <c r="G53" s="196"/>
      <c r="H53" s="196"/>
      <c r="I53" s="196"/>
      <c r="J53" s="196"/>
      <c r="K53" s="196"/>
      <c r="L53" s="196"/>
      <c r="M53" s="196"/>
      <c r="N53" s="196"/>
      <c r="O53" s="196"/>
      <c r="P53" s="196"/>
      <c r="Q53" s="196"/>
      <c r="R53" s="559" t="s">
        <v>152</v>
      </c>
      <c r="S53" s="530" t="s">
        <v>41</v>
      </c>
      <c r="T53" s="563" t="s">
        <v>376</v>
      </c>
      <c r="U53" s="248"/>
      <c r="V53" s="530" t="s">
        <v>803</v>
      </c>
      <c r="W53" s="437"/>
    </row>
    <row r="54" spans="1:23">
      <c r="A54" s="256" t="s">
        <v>69</v>
      </c>
      <c r="B54" s="114" t="s">
        <v>70</v>
      </c>
      <c r="C54" s="19">
        <v>0.43</v>
      </c>
      <c r="D54" s="19">
        <v>1</v>
      </c>
      <c r="E54" s="129">
        <f t="shared" si="13"/>
        <v>202.3</v>
      </c>
      <c r="F54" s="292" t="s">
        <v>30</v>
      </c>
      <c r="G54" s="293">
        <v>2021</v>
      </c>
      <c r="H54" s="293">
        <v>2021</v>
      </c>
      <c r="I54" s="292"/>
      <c r="J54" s="293">
        <v>2022</v>
      </c>
      <c r="K54" s="293">
        <v>2022</v>
      </c>
      <c r="L54" s="309"/>
      <c r="M54" s="309">
        <v>202.3</v>
      </c>
      <c r="N54" s="292"/>
      <c r="O54" s="292"/>
      <c r="P54" s="292"/>
      <c r="Q54" s="196"/>
      <c r="R54" s="562"/>
      <c r="S54" s="531"/>
      <c r="T54" s="564"/>
      <c r="U54" s="22" t="s">
        <v>71</v>
      </c>
      <c r="V54" s="531"/>
      <c r="W54" s="437"/>
    </row>
    <row r="55" spans="1:23">
      <c r="A55" s="256" t="s">
        <v>72</v>
      </c>
      <c r="B55" s="114" t="s">
        <v>73</v>
      </c>
      <c r="C55" s="19">
        <v>0.1</v>
      </c>
      <c r="D55" s="19">
        <v>1</v>
      </c>
      <c r="E55" s="129">
        <f t="shared" si="13"/>
        <v>160</v>
      </c>
      <c r="F55" s="292" t="s">
        <v>47</v>
      </c>
      <c r="G55" s="293">
        <v>2022</v>
      </c>
      <c r="H55" s="293">
        <v>2022</v>
      </c>
      <c r="I55" s="309">
        <v>40</v>
      </c>
      <c r="J55" s="293">
        <v>2022</v>
      </c>
      <c r="K55" s="293">
        <v>2022</v>
      </c>
      <c r="L55" s="292"/>
      <c r="M55" s="292">
        <v>160</v>
      </c>
      <c r="N55" s="292"/>
      <c r="O55" s="292"/>
      <c r="P55" s="115"/>
      <c r="Q55" s="196"/>
      <c r="R55" s="562"/>
      <c r="S55" s="531"/>
      <c r="T55" s="564"/>
      <c r="U55" s="22" t="s">
        <v>74</v>
      </c>
      <c r="V55" s="531"/>
      <c r="W55" s="437"/>
    </row>
    <row r="56" spans="1:23">
      <c r="A56" s="256" t="s">
        <v>75</v>
      </c>
      <c r="B56" s="29" t="s">
        <v>76</v>
      </c>
      <c r="C56" s="29"/>
      <c r="D56" s="29"/>
      <c r="E56" s="129">
        <f t="shared" si="13"/>
        <v>0</v>
      </c>
      <c r="F56" s="196"/>
      <c r="G56" s="294"/>
      <c r="H56" s="293"/>
      <c r="I56" s="292"/>
      <c r="J56" s="292"/>
      <c r="K56" s="292"/>
      <c r="L56" s="292"/>
      <c r="M56" s="292"/>
      <c r="N56" s="292"/>
      <c r="O56" s="292"/>
      <c r="P56" s="292"/>
      <c r="Q56" s="196"/>
      <c r="R56" s="562"/>
      <c r="S56" s="531"/>
      <c r="T56" s="564"/>
      <c r="U56" s="248"/>
      <c r="V56" s="531"/>
      <c r="W56" s="437"/>
    </row>
    <row r="57" spans="1:23" ht="31.5">
      <c r="A57" s="256" t="s">
        <v>77</v>
      </c>
      <c r="B57" s="407" t="s">
        <v>78</v>
      </c>
      <c r="C57" s="19">
        <v>4</v>
      </c>
      <c r="D57" s="19">
        <v>4</v>
      </c>
      <c r="E57" s="129">
        <f t="shared" si="13"/>
        <v>860</v>
      </c>
      <c r="F57" s="292" t="s">
        <v>47</v>
      </c>
      <c r="G57" s="295">
        <v>2021</v>
      </c>
      <c r="H57" s="295">
        <v>2023</v>
      </c>
      <c r="I57" s="292">
        <v>80</v>
      </c>
      <c r="J57" s="293">
        <v>2021</v>
      </c>
      <c r="K57" s="293">
        <v>2023</v>
      </c>
      <c r="L57" s="292">
        <v>420</v>
      </c>
      <c r="M57" s="292">
        <v>40</v>
      </c>
      <c r="N57" s="292">
        <v>400</v>
      </c>
      <c r="O57" s="292"/>
      <c r="P57" s="292"/>
      <c r="Q57" s="196"/>
      <c r="R57" s="562"/>
      <c r="S57" s="531"/>
      <c r="T57" s="564"/>
      <c r="U57" s="133" t="s">
        <v>79</v>
      </c>
      <c r="V57" s="531"/>
      <c r="W57" s="437"/>
    </row>
    <row r="58" spans="1:23" ht="15.75">
      <c r="A58" s="256" t="s">
        <v>377</v>
      </c>
      <c r="B58" s="114" t="s">
        <v>73</v>
      </c>
      <c r="C58" s="19">
        <v>0.2</v>
      </c>
      <c r="D58" s="19">
        <v>2</v>
      </c>
      <c r="E58" s="129">
        <f t="shared" si="13"/>
        <v>150</v>
      </c>
      <c r="F58" s="292" t="s">
        <v>47</v>
      </c>
      <c r="G58" s="295">
        <v>2024</v>
      </c>
      <c r="H58" s="295">
        <v>2024</v>
      </c>
      <c r="I58" s="292">
        <v>40</v>
      </c>
      <c r="J58" s="293">
        <v>2025</v>
      </c>
      <c r="K58" s="293">
        <v>2025</v>
      </c>
      <c r="L58" s="292"/>
      <c r="M58" s="292"/>
      <c r="N58" s="292"/>
      <c r="O58" s="292">
        <v>40</v>
      </c>
      <c r="P58" s="292">
        <v>110</v>
      </c>
      <c r="Q58" s="196"/>
      <c r="R58" s="562"/>
      <c r="S58" s="531"/>
      <c r="T58" s="564"/>
      <c r="U58" s="133" t="s">
        <v>378</v>
      </c>
      <c r="V58" s="531"/>
      <c r="W58" s="437"/>
    </row>
    <row r="59" spans="1:23" s="24" customFormat="1">
      <c r="A59" s="256" t="s">
        <v>80</v>
      </c>
      <c r="B59" s="321" t="s">
        <v>81</v>
      </c>
      <c r="C59" s="248"/>
      <c r="D59" s="248"/>
      <c r="E59" s="129">
        <f t="shared" si="13"/>
        <v>0</v>
      </c>
      <c r="F59" s="196"/>
      <c r="G59" s="294"/>
      <c r="H59" s="293"/>
      <c r="I59" s="292"/>
      <c r="J59" s="292"/>
      <c r="K59" s="292"/>
      <c r="L59" s="292"/>
      <c r="M59" s="292"/>
      <c r="N59" s="292"/>
      <c r="O59" s="292"/>
      <c r="P59" s="292"/>
      <c r="Q59" s="196"/>
      <c r="R59" s="562"/>
      <c r="S59" s="531"/>
      <c r="T59" s="564"/>
      <c r="U59" s="248"/>
      <c r="V59" s="531"/>
      <c r="W59" s="437"/>
    </row>
    <row r="60" spans="1:23" ht="31.5">
      <c r="A60" s="256" t="s">
        <v>82</v>
      </c>
      <c r="B60" s="37" t="s">
        <v>78</v>
      </c>
      <c r="C60" s="19">
        <v>3</v>
      </c>
      <c r="D60" s="19">
        <v>3</v>
      </c>
      <c r="E60" s="129">
        <f t="shared" si="13"/>
        <v>920</v>
      </c>
      <c r="F60" s="292" t="s">
        <v>47</v>
      </c>
      <c r="G60" s="293">
        <v>2022</v>
      </c>
      <c r="H60" s="293">
        <v>2022</v>
      </c>
      <c r="I60" s="292">
        <v>40</v>
      </c>
      <c r="J60" s="293">
        <v>2022</v>
      </c>
      <c r="K60" s="293">
        <v>2023</v>
      </c>
      <c r="L60" s="292"/>
      <c r="M60" s="292">
        <v>500</v>
      </c>
      <c r="N60" s="292">
        <v>420</v>
      </c>
      <c r="O60" s="292"/>
      <c r="P60" s="292"/>
      <c r="Q60" s="196"/>
      <c r="R60" s="562"/>
      <c r="S60" s="531"/>
      <c r="T60" s="564"/>
      <c r="U60" s="133" t="s">
        <v>83</v>
      </c>
      <c r="V60" s="531"/>
      <c r="W60" s="437"/>
    </row>
    <row r="61" spans="1:23" ht="15.75">
      <c r="A61" s="256" t="s">
        <v>84</v>
      </c>
      <c r="B61" s="298" t="s">
        <v>85</v>
      </c>
      <c r="C61" s="19">
        <v>15.93</v>
      </c>
      <c r="D61" s="19">
        <v>6</v>
      </c>
      <c r="E61" s="319">
        <f t="shared" si="13"/>
        <v>6232.393</v>
      </c>
      <c r="F61" s="292" t="s">
        <v>47</v>
      </c>
      <c r="G61" s="293">
        <v>2022</v>
      </c>
      <c r="H61" s="293">
        <v>2024</v>
      </c>
      <c r="I61" s="296">
        <f>80+80+420</f>
        <v>580</v>
      </c>
      <c r="J61" s="293">
        <v>2022</v>
      </c>
      <c r="K61" s="293">
        <v>2025</v>
      </c>
      <c r="L61" s="292"/>
      <c r="M61" s="292">
        <v>472.39299999999997</v>
      </c>
      <c r="N61" s="292">
        <v>400</v>
      </c>
      <c r="O61" s="292">
        <v>560</v>
      </c>
      <c r="P61" s="292">
        <v>4800</v>
      </c>
      <c r="Q61" s="196"/>
      <c r="R61" s="562"/>
      <c r="S61" s="531"/>
      <c r="T61" s="564"/>
      <c r="U61" s="133" t="s">
        <v>86</v>
      </c>
      <c r="V61" s="531"/>
      <c r="W61" s="437"/>
    </row>
    <row r="62" spans="1:23" ht="15.75">
      <c r="A62" s="256" t="s">
        <v>402</v>
      </c>
      <c r="B62" s="298" t="s">
        <v>403</v>
      </c>
      <c r="C62" s="19">
        <v>1.7</v>
      </c>
      <c r="D62" s="19">
        <v>7</v>
      </c>
      <c r="E62" s="129">
        <f t="shared" si="13"/>
        <v>340</v>
      </c>
      <c r="F62" s="292" t="s">
        <v>47</v>
      </c>
      <c r="G62" s="293">
        <v>2022</v>
      </c>
      <c r="H62" s="293">
        <v>2022</v>
      </c>
      <c r="I62" s="296">
        <v>40</v>
      </c>
      <c r="J62" s="293">
        <v>2023</v>
      </c>
      <c r="K62" s="293">
        <v>2023</v>
      </c>
      <c r="L62" s="292"/>
      <c r="M62" s="292">
        <v>40</v>
      </c>
      <c r="N62" s="292">
        <v>300</v>
      </c>
      <c r="O62" s="292"/>
      <c r="P62" s="292"/>
      <c r="Q62" s="196"/>
      <c r="R62" s="562"/>
      <c r="S62" s="531"/>
      <c r="T62" s="564"/>
      <c r="U62" s="133"/>
      <c r="V62" s="531"/>
      <c r="W62" s="437"/>
    </row>
    <row r="63" spans="1:23" s="24" customFormat="1">
      <c r="A63" s="256" t="s">
        <v>87</v>
      </c>
      <c r="B63" s="321" t="s">
        <v>88</v>
      </c>
      <c r="C63" s="248"/>
      <c r="D63" s="248"/>
      <c r="E63" s="129">
        <f t="shared" si="13"/>
        <v>0</v>
      </c>
      <c r="F63" s="196"/>
      <c r="G63" s="294"/>
      <c r="H63" s="293"/>
      <c r="I63" s="292"/>
      <c r="J63" s="292"/>
      <c r="K63" s="292"/>
      <c r="L63" s="292"/>
      <c r="M63" s="292"/>
      <c r="N63" s="292"/>
      <c r="O63" s="292"/>
      <c r="P63" s="292"/>
      <c r="Q63" s="196"/>
      <c r="R63" s="562"/>
      <c r="S63" s="531"/>
      <c r="T63" s="564"/>
      <c r="U63" s="248"/>
      <c r="V63" s="531"/>
      <c r="W63" s="437"/>
    </row>
    <row r="64" spans="1:23" ht="31.5">
      <c r="A64" s="256" t="s">
        <v>89</v>
      </c>
      <c r="B64" s="407" t="s">
        <v>78</v>
      </c>
      <c r="C64" s="19">
        <v>3</v>
      </c>
      <c r="D64" s="19">
        <v>3</v>
      </c>
      <c r="E64" s="129">
        <f t="shared" si="13"/>
        <v>1110</v>
      </c>
      <c r="F64" s="292" t="s">
        <v>47</v>
      </c>
      <c r="G64" s="293">
        <v>2021</v>
      </c>
      <c r="H64" s="293">
        <v>2023</v>
      </c>
      <c r="I64" s="292">
        <v>150</v>
      </c>
      <c r="J64" s="295">
        <v>2022</v>
      </c>
      <c r="K64" s="295">
        <v>2024</v>
      </c>
      <c r="L64" s="292">
        <v>100</v>
      </c>
      <c r="M64" s="292">
        <v>500</v>
      </c>
      <c r="N64" s="292">
        <v>50</v>
      </c>
      <c r="O64" s="292">
        <v>460</v>
      </c>
      <c r="P64" s="292"/>
      <c r="Q64" s="196"/>
      <c r="R64" s="562"/>
      <c r="S64" s="531"/>
      <c r="T64" s="564"/>
      <c r="U64" s="133" t="s">
        <v>90</v>
      </c>
      <c r="V64" s="531"/>
      <c r="W64" s="437"/>
    </row>
    <row r="65" spans="1:23" ht="15.75">
      <c r="A65" s="256" t="s">
        <v>379</v>
      </c>
      <c r="B65" s="114" t="s">
        <v>380</v>
      </c>
      <c r="C65" s="19">
        <v>1.7</v>
      </c>
      <c r="D65" s="19">
        <v>3</v>
      </c>
      <c r="E65" s="129">
        <f t="shared" si="13"/>
        <v>440</v>
      </c>
      <c r="F65" s="292" t="s">
        <v>47</v>
      </c>
      <c r="G65" s="293">
        <v>2022</v>
      </c>
      <c r="H65" s="293">
        <v>2022</v>
      </c>
      <c r="I65" s="292">
        <v>40</v>
      </c>
      <c r="J65" s="295">
        <v>2023</v>
      </c>
      <c r="K65" s="295">
        <v>2023</v>
      </c>
      <c r="L65" s="292"/>
      <c r="M65" s="292">
        <v>40</v>
      </c>
      <c r="N65" s="292">
        <v>400</v>
      </c>
      <c r="O65" s="292"/>
      <c r="P65" s="292"/>
      <c r="Q65" s="196"/>
      <c r="R65" s="562"/>
      <c r="S65" s="531"/>
      <c r="T65" s="564"/>
      <c r="U65" s="133" t="s">
        <v>845</v>
      </c>
      <c r="V65" s="531"/>
      <c r="W65" s="437"/>
    </row>
    <row r="66" spans="1:23" s="24" customFormat="1">
      <c r="A66" s="256" t="s">
        <v>91</v>
      </c>
      <c r="B66" s="321" t="s">
        <v>92</v>
      </c>
      <c r="C66" s="248"/>
      <c r="D66" s="248"/>
      <c r="E66" s="129">
        <f t="shared" si="13"/>
        <v>0</v>
      </c>
      <c r="F66" s="196"/>
      <c r="G66" s="294"/>
      <c r="H66" s="293"/>
      <c r="I66" s="292"/>
      <c r="J66" s="292"/>
      <c r="K66" s="292"/>
      <c r="L66" s="292"/>
      <c r="M66" s="292"/>
      <c r="N66" s="292"/>
      <c r="O66" s="292"/>
      <c r="P66" s="292"/>
      <c r="Q66" s="196"/>
      <c r="R66" s="562"/>
      <c r="S66" s="531"/>
      <c r="T66" s="564"/>
      <c r="U66" s="248"/>
      <c r="V66" s="531"/>
      <c r="W66" s="437"/>
    </row>
    <row r="67" spans="1:23" ht="31.5" customHeight="1">
      <c r="A67" s="256" t="s">
        <v>93</v>
      </c>
      <c r="B67" s="407" t="s">
        <v>78</v>
      </c>
      <c r="C67" s="19">
        <v>2</v>
      </c>
      <c r="D67" s="19">
        <v>2</v>
      </c>
      <c r="E67" s="129">
        <f t="shared" si="13"/>
        <v>450</v>
      </c>
      <c r="F67" s="292" t="s">
        <v>30</v>
      </c>
      <c r="G67" s="293">
        <v>2021</v>
      </c>
      <c r="H67" s="293">
        <v>2021</v>
      </c>
      <c r="I67" s="292"/>
      <c r="J67" s="293">
        <v>2022</v>
      </c>
      <c r="K67" s="293">
        <v>2022</v>
      </c>
      <c r="L67" s="292"/>
      <c r="M67" s="292">
        <v>450</v>
      </c>
      <c r="N67" s="292"/>
      <c r="O67" s="292"/>
      <c r="P67" s="292"/>
      <c r="Q67" s="196"/>
      <c r="R67" s="560"/>
      <c r="S67" s="532"/>
      <c r="T67" s="565"/>
      <c r="U67" s="133" t="s">
        <v>846</v>
      </c>
      <c r="V67" s="532"/>
      <c r="W67" s="437"/>
    </row>
    <row r="68" spans="1:23" s="5" customFormat="1">
      <c r="A68" s="3" t="s">
        <v>95</v>
      </c>
      <c r="B68" s="25" t="s">
        <v>96</v>
      </c>
      <c r="C68" s="25"/>
      <c r="D68" s="25"/>
      <c r="E68" s="26"/>
      <c r="F68" s="26"/>
      <c r="G68" s="26"/>
      <c r="H68" s="26"/>
      <c r="I68" s="26"/>
      <c r="J68" s="26"/>
      <c r="K68" s="26"/>
      <c r="L68" s="26"/>
      <c r="M68" s="26"/>
      <c r="N68" s="26"/>
      <c r="O68" s="26"/>
      <c r="P68" s="26"/>
      <c r="Q68" s="26"/>
      <c r="R68" s="208"/>
      <c r="S68" s="26"/>
      <c r="T68" s="21"/>
      <c r="U68" s="25"/>
      <c r="V68" s="197"/>
      <c r="W68" s="3"/>
    </row>
    <row r="69" spans="1:23" ht="15" customHeight="1">
      <c r="A69" s="256" t="s">
        <v>97</v>
      </c>
      <c r="B69" s="558" t="s">
        <v>67</v>
      </c>
      <c r="C69" s="558"/>
      <c r="D69" s="558"/>
      <c r="E69" s="216"/>
      <c r="F69" s="216"/>
      <c r="G69" s="216"/>
      <c r="H69" s="216"/>
      <c r="I69" s="216"/>
      <c r="J69" s="216"/>
      <c r="K69" s="216"/>
      <c r="L69" s="216"/>
      <c r="M69" s="216"/>
      <c r="N69" s="216"/>
      <c r="O69" s="216"/>
      <c r="P69" s="216"/>
      <c r="Q69" s="196"/>
      <c r="R69" s="559" t="s">
        <v>749</v>
      </c>
      <c r="S69" s="559" t="s">
        <v>41</v>
      </c>
      <c r="T69" s="559" t="s">
        <v>376</v>
      </c>
      <c r="U69" s="248"/>
      <c r="V69" s="545" t="s">
        <v>803</v>
      </c>
      <c r="W69" s="164"/>
    </row>
    <row r="70" spans="1:23" ht="30">
      <c r="A70" s="256" t="s">
        <v>98</v>
      </c>
      <c r="B70" s="407" t="s">
        <v>99</v>
      </c>
      <c r="C70" s="19">
        <v>25</v>
      </c>
      <c r="D70" s="19">
        <v>25</v>
      </c>
      <c r="E70" s="129">
        <f t="shared" ref="E70:E95" si="14">O70+P70+N70+M70+L70</f>
        <v>3330</v>
      </c>
      <c r="F70" s="292" t="s">
        <v>47</v>
      </c>
      <c r="G70" s="293">
        <v>2024</v>
      </c>
      <c r="H70" s="293">
        <v>2024</v>
      </c>
      <c r="I70" s="292">
        <v>165</v>
      </c>
      <c r="J70" s="293">
        <v>2021</v>
      </c>
      <c r="K70" s="293">
        <v>2025</v>
      </c>
      <c r="L70" s="292">
        <v>1150</v>
      </c>
      <c r="M70" s="292">
        <v>600</v>
      </c>
      <c r="N70" s="292">
        <v>600</v>
      </c>
      <c r="O70" s="292">
        <v>620</v>
      </c>
      <c r="P70" s="292">
        <v>360</v>
      </c>
      <c r="Q70" s="196"/>
      <c r="R70" s="562"/>
      <c r="S70" s="562"/>
      <c r="T70" s="562" t="s">
        <v>100</v>
      </c>
      <c r="U70" s="133" t="s">
        <v>101</v>
      </c>
      <c r="V70" s="546"/>
      <c r="W70" s="164"/>
    </row>
    <row r="71" spans="1:23">
      <c r="A71" s="256" t="s">
        <v>102</v>
      </c>
      <c r="B71" s="114" t="s">
        <v>103</v>
      </c>
      <c r="C71" s="19">
        <f>4.68+13.6+9.67</f>
        <v>27.950000000000003</v>
      </c>
      <c r="D71" s="19">
        <v>52</v>
      </c>
      <c r="E71" s="129">
        <f t="shared" si="14"/>
        <v>5565.82</v>
      </c>
      <c r="F71" s="292" t="s">
        <v>47</v>
      </c>
      <c r="G71" s="293">
        <v>2021</v>
      </c>
      <c r="H71" s="292">
        <v>2024</v>
      </c>
      <c r="I71" s="292">
        <v>170</v>
      </c>
      <c r="J71" s="293">
        <v>2021</v>
      </c>
      <c r="K71" s="293">
        <v>2024</v>
      </c>
      <c r="L71" s="292">
        <v>1905.82</v>
      </c>
      <c r="M71" s="292">
        <v>400</v>
      </c>
      <c r="N71" s="292">
        <v>400</v>
      </c>
      <c r="O71" s="292">
        <v>2860</v>
      </c>
      <c r="P71" s="292"/>
      <c r="Q71" s="196"/>
      <c r="R71" s="562"/>
      <c r="S71" s="562"/>
      <c r="T71" s="562" t="s">
        <v>100</v>
      </c>
      <c r="U71" s="22" t="s">
        <v>104</v>
      </c>
      <c r="V71" s="546"/>
      <c r="W71" s="164"/>
    </row>
    <row r="72" spans="1:23">
      <c r="A72" s="256" t="s">
        <v>105</v>
      </c>
      <c r="B72" s="114" t="s">
        <v>106</v>
      </c>
      <c r="C72" s="19">
        <v>5</v>
      </c>
      <c r="D72" s="19">
        <v>10</v>
      </c>
      <c r="E72" s="129">
        <f t="shared" si="14"/>
        <v>2470</v>
      </c>
      <c r="F72" s="292" t="s">
        <v>47</v>
      </c>
      <c r="G72" s="293">
        <v>2021</v>
      </c>
      <c r="H72" s="292">
        <v>2024</v>
      </c>
      <c r="I72" s="292">
        <v>180</v>
      </c>
      <c r="J72" s="293">
        <v>2022</v>
      </c>
      <c r="K72" s="293">
        <v>2025</v>
      </c>
      <c r="L72" s="292"/>
      <c r="M72" s="292">
        <v>860</v>
      </c>
      <c r="N72" s="292">
        <v>900</v>
      </c>
      <c r="O72" s="292">
        <v>590</v>
      </c>
      <c r="P72" s="292">
        <v>120</v>
      </c>
      <c r="Q72" s="196"/>
      <c r="R72" s="562"/>
      <c r="S72" s="562"/>
      <c r="T72" s="562" t="s">
        <v>100</v>
      </c>
      <c r="U72" s="22" t="s">
        <v>107</v>
      </c>
      <c r="V72" s="546"/>
      <c r="W72" s="164"/>
    </row>
    <row r="73" spans="1:23">
      <c r="A73" s="256" t="s">
        <v>108</v>
      </c>
      <c r="B73" s="114" t="s">
        <v>109</v>
      </c>
      <c r="C73" s="19">
        <v>2.5</v>
      </c>
      <c r="D73" s="19">
        <v>15</v>
      </c>
      <c r="E73" s="129">
        <f t="shared" si="14"/>
        <v>1370</v>
      </c>
      <c r="F73" s="292" t="s">
        <v>47</v>
      </c>
      <c r="G73" s="293">
        <v>2021</v>
      </c>
      <c r="H73" s="293">
        <v>2025</v>
      </c>
      <c r="I73" s="292">
        <v>260</v>
      </c>
      <c r="J73" s="293">
        <v>2021</v>
      </c>
      <c r="K73" s="293">
        <v>2025</v>
      </c>
      <c r="L73" s="292">
        <v>120</v>
      </c>
      <c r="M73" s="292">
        <v>470</v>
      </c>
      <c r="N73" s="292">
        <v>300</v>
      </c>
      <c r="O73" s="292">
        <v>360</v>
      </c>
      <c r="P73" s="292">
        <v>120</v>
      </c>
      <c r="Q73" s="196"/>
      <c r="R73" s="562"/>
      <c r="S73" s="562"/>
      <c r="T73" s="562" t="s">
        <v>100</v>
      </c>
      <c r="U73" s="22" t="s">
        <v>110</v>
      </c>
      <c r="V73" s="546"/>
      <c r="W73" s="164"/>
    </row>
    <row r="74" spans="1:23">
      <c r="A74" s="256" t="s">
        <v>111</v>
      </c>
      <c r="B74" s="540" t="s">
        <v>92</v>
      </c>
      <c r="C74" s="540"/>
      <c r="D74" s="540"/>
      <c r="E74" s="129">
        <f t="shared" si="14"/>
        <v>0</v>
      </c>
      <c r="F74" s="196"/>
      <c r="G74" s="196"/>
      <c r="H74" s="196"/>
      <c r="I74" s="196"/>
      <c r="J74" s="294"/>
      <c r="K74" s="294"/>
      <c r="L74" s="292"/>
      <c r="M74" s="292"/>
      <c r="N74" s="292"/>
      <c r="O74" s="292"/>
      <c r="P74" s="292"/>
      <c r="Q74" s="196"/>
      <c r="R74" s="562"/>
      <c r="S74" s="562"/>
      <c r="T74" s="562" t="s">
        <v>100</v>
      </c>
      <c r="U74" s="248"/>
      <c r="V74" s="546"/>
      <c r="W74" s="164"/>
    </row>
    <row r="75" spans="1:23" ht="30">
      <c r="A75" s="256" t="s">
        <v>112</v>
      </c>
      <c r="B75" s="407" t="s">
        <v>113</v>
      </c>
      <c r="C75" s="19">
        <v>23</v>
      </c>
      <c r="D75" s="19">
        <v>23</v>
      </c>
      <c r="E75" s="129">
        <f t="shared" si="14"/>
        <v>2610</v>
      </c>
      <c r="F75" s="292" t="s">
        <v>30</v>
      </c>
      <c r="G75" s="293">
        <v>2021</v>
      </c>
      <c r="H75" s="293">
        <v>2025</v>
      </c>
      <c r="I75" s="292">
        <v>140</v>
      </c>
      <c r="J75" s="293">
        <v>2021</v>
      </c>
      <c r="K75" s="293">
        <v>2025</v>
      </c>
      <c r="L75" s="292">
        <v>850</v>
      </c>
      <c r="M75" s="292">
        <v>600</v>
      </c>
      <c r="N75" s="292">
        <v>300</v>
      </c>
      <c r="O75" s="292">
        <v>540</v>
      </c>
      <c r="P75" s="292">
        <v>320</v>
      </c>
      <c r="Q75" s="196"/>
      <c r="R75" s="562"/>
      <c r="S75" s="562"/>
      <c r="T75" s="562" t="s">
        <v>100</v>
      </c>
      <c r="U75" s="22" t="s">
        <v>114</v>
      </c>
      <c r="V75" s="546"/>
      <c r="W75" s="164"/>
    </row>
    <row r="76" spans="1:23">
      <c r="A76" s="256" t="s">
        <v>115</v>
      </c>
      <c r="B76" s="114" t="s">
        <v>103</v>
      </c>
      <c r="C76" s="19">
        <v>24</v>
      </c>
      <c r="D76" s="470">
        <v>36</v>
      </c>
      <c r="E76" s="129">
        <f t="shared" si="14"/>
        <v>7116.24</v>
      </c>
      <c r="F76" s="292" t="s">
        <v>47</v>
      </c>
      <c r="G76" s="293">
        <v>2021</v>
      </c>
      <c r="H76" s="293">
        <v>2025</v>
      </c>
      <c r="I76" s="292">
        <v>640</v>
      </c>
      <c r="J76" s="293">
        <v>2021</v>
      </c>
      <c r="K76" s="293">
        <v>2025</v>
      </c>
      <c r="L76" s="292">
        <v>5086.24</v>
      </c>
      <c r="M76" s="292">
        <v>600</v>
      </c>
      <c r="N76" s="292">
        <v>650</v>
      </c>
      <c r="O76" s="292">
        <v>400</v>
      </c>
      <c r="P76" s="292">
        <v>380</v>
      </c>
      <c r="Q76" s="196"/>
      <c r="R76" s="562"/>
      <c r="S76" s="562"/>
      <c r="T76" s="562" t="s">
        <v>100</v>
      </c>
      <c r="U76" s="22" t="s">
        <v>104</v>
      </c>
      <c r="V76" s="546"/>
      <c r="W76" s="164"/>
    </row>
    <row r="77" spans="1:23" ht="19.5" customHeight="1">
      <c r="A77" s="256" t="s">
        <v>116</v>
      </c>
      <c r="B77" s="114" t="s">
        <v>117</v>
      </c>
      <c r="C77" s="19">
        <v>6.2</v>
      </c>
      <c r="D77" s="470">
        <v>7</v>
      </c>
      <c r="E77" s="319">
        <f t="shared" si="14"/>
        <v>2663.25</v>
      </c>
      <c r="F77" s="292" t="s">
        <v>30</v>
      </c>
      <c r="G77" s="293">
        <v>2021</v>
      </c>
      <c r="H77" s="293">
        <v>2025</v>
      </c>
      <c r="I77" s="292">
        <v>180</v>
      </c>
      <c r="J77" s="293">
        <v>2021</v>
      </c>
      <c r="K77" s="293">
        <v>2025</v>
      </c>
      <c r="L77" s="292">
        <v>100.25</v>
      </c>
      <c r="M77" s="292">
        <v>163</v>
      </c>
      <c r="N77" s="292">
        <v>1300</v>
      </c>
      <c r="O77" s="292">
        <v>800</v>
      </c>
      <c r="P77" s="292">
        <v>300</v>
      </c>
      <c r="Q77" s="196"/>
      <c r="R77" s="562"/>
      <c r="S77" s="562"/>
      <c r="T77" s="562" t="s">
        <v>100</v>
      </c>
      <c r="U77" s="133" t="s">
        <v>843</v>
      </c>
      <c r="V77" s="546"/>
      <c r="W77" s="164"/>
    </row>
    <row r="78" spans="1:23" ht="15.75">
      <c r="A78" s="256" t="s">
        <v>118</v>
      </c>
      <c r="B78" s="114" t="s">
        <v>119</v>
      </c>
      <c r="C78" s="19">
        <v>2.2999999999999998</v>
      </c>
      <c r="D78" s="470">
        <v>4</v>
      </c>
      <c r="E78" s="129">
        <f t="shared" si="14"/>
        <v>540</v>
      </c>
      <c r="F78" s="292" t="s">
        <v>30</v>
      </c>
      <c r="G78" s="293">
        <v>2024</v>
      </c>
      <c r="H78" s="293">
        <v>2024</v>
      </c>
      <c r="I78" s="292">
        <v>120</v>
      </c>
      <c r="J78" s="293">
        <v>2025</v>
      </c>
      <c r="K78" s="293">
        <v>2025</v>
      </c>
      <c r="L78" s="292"/>
      <c r="M78" s="292"/>
      <c r="N78" s="292"/>
      <c r="O78" s="292">
        <v>120</v>
      </c>
      <c r="P78" s="292">
        <v>420</v>
      </c>
      <c r="Q78" s="196"/>
      <c r="R78" s="562"/>
      <c r="S78" s="562"/>
      <c r="T78" s="562" t="s">
        <v>100</v>
      </c>
      <c r="U78" s="133" t="s">
        <v>120</v>
      </c>
      <c r="V78" s="546"/>
      <c r="W78" s="164"/>
    </row>
    <row r="79" spans="1:23">
      <c r="A79" s="256" t="s">
        <v>121</v>
      </c>
      <c r="B79" s="540" t="s">
        <v>76</v>
      </c>
      <c r="C79" s="540"/>
      <c r="D79" s="540"/>
      <c r="E79" s="129">
        <f t="shared" si="14"/>
        <v>0</v>
      </c>
      <c r="F79" s="196"/>
      <c r="G79" s="196"/>
      <c r="H79" s="196"/>
      <c r="I79" s="196"/>
      <c r="J79" s="294"/>
      <c r="K79" s="294"/>
      <c r="L79" s="292"/>
      <c r="M79" s="292"/>
      <c r="N79" s="292"/>
      <c r="O79" s="292"/>
      <c r="P79" s="292"/>
      <c r="Q79" s="196"/>
      <c r="R79" s="562"/>
      <c r="S79" s="562"/>
      <c r="T79" s="562" t="s">
        <v>100</v>
      </c>
      <c r="U79" s="248"/>
      <c r="V79" s="546"/>
      <c r="W79" s="164"/>
    </row>
    <row r="80" spans="1:23" ht="30">
      <c r="A80" s="256" t="s">
        <v>122</v>
      </c>
      <c r="B80" s="407" t="s">
        <v>113</v>
      </c>
      <c r="C80" s="19">
        <v>52</v>
      </c>
      <c r="D80" s="19">
        <v>52</v>
      </c>
      <c r="E80" s="129">
        <f t="shared" si="14"/>
        <v>3280</v>
      </c>
      <c r="F80" s="292" t="s">
        <v>30</v>
      </c>
      <c r="G80" s="293">
        <v>2021</v>
      </c>
      <c r="H80" s="293">
        <v>2025</v>
      </c>
      <c r="I80" s="292">
        <v>150</v>
      </c>
      <c r="J80" s="293">
        <v>2021</v>
      </c>
      <c r="K80" s="293">
        <v>2025</v>
      </c>
      <c r="L80" s="292">
        <v>1900</v>
      </c>
      <c r="M80" s="292">
        <v>200</v>
      </c>
      <c r="N80" s="292">
        <v>400</v>
      </c>
      <c r="O80" s="292">
        <v>420</v>
      </c>
      <c r="P80" s="292">
        <v>360</v>
      </c>
      <c r="Q80" s="196"/>
      <c r="R80" s="562"/>
      <c r="S80" s="562"/>
      <c r="T80" s="562" t="s">
        <v>100</v>
      </c>
      <c r="U80" s="22" t="s">
        <v>114</v>
      </c>
      <c r="V80" s="546"/>
      <c r="W80" s="164"/>
    </row>
    <row r="81" spans="1:23" ht="15.75">
      <c r="A81" s="256" t="s">
        <v>123</v>
      </c>
      <c r="B81" s="114" t="s">
        <v>124</v>
      </c>
      <c r="C81" s="19">
        <f>1.5+2.14</f>
        <v>3.64</v>
      </c>
      <c r="D81" s="470">
        <v>5</v>
      </c>
      <c r="E81" s="319">
        <f t="shared" si="14"/>
        <v>1497.75899</v>
      </c>
      <c r="F81" s="292" t="s">
        <v>47</v>
      </c>
      <c r="G81" s="293">
        <v>2021</v>
      </c>
      <c r="H81" s="293">
        <v>2022</v>
      </c>
      <c r="I81" s="292">
        <f>40+40</f>
        <v>80</v>
      </c>
      <c r="J81" s="293">
        <v>2022</v>
      </c>
      <c r="K81" s="293">
        <v>2025</v>
      </c>
      <c r="L81" s="292">
        <v>77.758989999999997</v>
      </c>
      <c r="M81" s="292">
        <v>220</v>
      </c>
      <c r="N81" s="292">
        <v>400</v>
      </c>
      <c r="O81" s="292">
        <v>560</v>
      </c>
      <c r="P81" s="292">
        <v>240</v>
      </c>
      <c r="Q81" s="196"/>
      <c r="R81" s="562"/>
      <c r="S81" s="562"/>
      <c r="T81" s="562" t="s">
        <v>100</v>
      </c>
      <c r="U81" s="133" t="s">
        <v>844</v>
      </c>
      <c r="V81" s="546"/>
      <c r="W81" s="164"/>
    </row>
    <row r="82" spans="1:23">
      <c r="A82" s="256" t="s">
        <v>125</v>
      </c>
      <c r="B82" s="114" t="s">
        <v>103</v>
      </c>
      <c r="C82" s="19">
        <v>17.5</v>
      </c>
      <c r="D82" s="470">
        <v>18</v>
      </c>
      <c r="E82" s="319">
        <f t="shared" si="14"/>
        <v>3479.04</v>
      </c>
      <c r="F82" s="292" t="s">
        <v>47</v>
      </c>
      <c r="G82" s="293">
        <v>2021</v>
      </c>
      <c r="H82" s="293">
        <v>2025</v>
      </c>
      <c r="I82" s="292">
        <v>120</v>
      </c>
      <c r="J82" s="293">
        <v>2021</v>
      </c>
      <c r="K82" s="293">
        <v>2025</v>
      </c>
      <c r="L82" s="292">
        <v>1589.04</v>
      </c>
      <c r="M82" s="292">
        <v>600</v>
      </c>
      <c r="N82" s="292">
        <v>400</v>
      </c>
      <c r="O82" s="292">
        <v>620</v>
      </c>
      <c r="P82" s="292">
        <v>270</v>
      </c>
      <c r="Q82" s="196"/>
      <c r="R82" s="562"/>
      <c r="S82" s="562"/>
      <c r="T82" s="562" t="s">
        <v>100</v>
      </c>
      <c r="U82" s="22" t="s">
        <v>104</v>
      </c>
      <c r="V82" s="546"/>
      <c r="W82" s="164"/>
    </row>
    <row r="83" spans="1:23" ht="15.75">
      <c r="A83" s="256" t="s">
        <v>126</v>
      </c>
      <c r="B83" s="114" t="s">
        <v>119</v>
      </c>
      <c r="C83" s="19">
        <v>13.74</v>
      </c>
      <c r="D83" s="470">
        <v>14</v>
      </c>
      <c r="E83" s="319">
        <f t="shared" si="14"/>
        <v>3628.64</v>
      </c>
      <c r="F83" s="292" t="s">
        <v>47</v>
      </c>
      <c r="G83" s="293">
        <v>2021</v>
      </c>
      <c r="H83" s="293">
        <v>2025</v>
      </c>
      <c r="I83" s="292">
        <v>360</v>
      </c>
      <c r="J83" s="293">
        <v>2022</v>
      </c>
      <c r="K83" s="293">
        <v>2025</v>
      </c>
      <c r="L83" s="292">
        <v>100</v>
      </c>
      <c r="M83" s="292">
        <v>600</v>
      </c>
      <c r="N83" s="292">
        <v>820</v>
      </c>
      <c r="O83" s="292">
        <v>884.32</v>
      </c>
      <c r="P83" s="292">
        <v>1224.32</v>
      </c>
      <c r="Q83" s="196"/>
      <c r="R83" s="562"/>
      <c r="S83" s="562"/>
      <c r="T83" s="562" t="s">
        <v>100</v>
      </c>
      <c r="U83" s="133" t="s">
        <v>127</v>
      </c>
      <c r="V83" s="546"/>
      <c r="W83" s="164"/>
    </row>
    <row r="84" spans="1:23">
      <c r="A84" s="256" t="s">
        <v>128</v>
      </c>
      <c r="B84" s="114" t="s">
        <v>109</v>
      </c>
      <c r="C84" s="19">
        <v>3.3</v>
      </c>
      <c r="D84" s="470">
        <v>9</v>
      </c>
      <c r="E84" s="129">
        <f t="shared" si="14"/>
        <v>2711</v>
      </c>
      <c r="F84" s="292" t="s">
        <v>47</v>
      </c>
      <c r="G84" s="293">
        <v>2021</v>
      </c>
      <c r="H84" s="293">
        <v>2025</v>
      </c>
      <c r="I84" s="292">
        <v>160</v>
      </c>
      <c r="J84" s="293">
        <v>2021</v>
      </c>
      <c r="K84" s="293">
        <v>2025</v>
      </c>
      <c r="L84" s="292">
        <v>661</v>
      </c>
      <c r="M84" s="292">
        <v>620</v>
      </c>
      <c r="N84" s="292">
        <v>280</v>
      </c>
      <c r="O84" s="292">
        <v>800</v>
      </c>
      <c r="P84" s="292">
        <v>350</v>
      </c>
      <c r="Q84" s="196"/>
      <c r="R84" s="562"/>
      <c r="S84" s="562"/>
      <c r="T84" s="562" t="s">
        <v>100</v>
      </c>
      <c r="U84" s="22" t="s">
        <v>110</v>
      </c>
      <c r="V84" s="546"/>
      <c r="W84" s="164"/>
    </row>
    <row r="85" spans="1:23">
      <c r="A85" s="256" t="s">
        <v>129</v>
      </c>
      <c r="B85" s="321" t="s">
        <v>88</v>
      </c>
      <c r="C85" s="248"/>
      <c r="D85" s="248"/>
      <c r="E85" s="129">
        <f t="shared" si="14"/>
        <v>0</v>
      </c>
      <c r="F85" s="196"/>
      <c r="G85" s="196"/>
      <c r="H85" s="196"/>
      <c r="I85" s="196"/>
      <c r="J85" s="294"/>
      <c r="K85" s="294"/>
      <c r="L85" s="292"/>
      <c r="M85" s="292"/>
      <c r="N85" s="292"/>
      <c r="O85" s="292"/>
      <c r="P85" s="292"/>
      <c r="Q85" s="196"/>
      <c r="R85" s="562"/>
      <c r="S85" s="562"/>
      <c r="T85" s="562" t="s">
        <v>100</v>
      </c>
      <c r="U85" s="248"/>
      <c r="V85" s="546"/>
      <c r="W85" s="164"/>
    </row>
    <row r="86" spans="1:23" ht="30">
      <c r="A86" s="256" t="s">
        <v>130</v>
      </c>
      <c r="B86" s="407" t="s">
        <v>113</v>
      </c>
      <c r="C86" s="19">
        <v>54</v>
      </c>
      <c r="D86" s="19">
        <v>54</v>
      </c>
      <c r="E86" s="129">
        <f t="shared" si="14"/>
        <v>2990</v>
      </c>
      <c r="F86" s="292" t="s">
        <v>47</v>
      </c>
      <c r="G86" s="293">
        <v>2021</v>
      </c>
      <c r="H86" s="293">
        <v>2024</v>
      </c>
      <c r="I86" s="292">
        <v>680</v>
      </c>
      <c r="J86" s="293">
        <v>2021</v>
      </c>
      <c r="K86" s="293">
        <v>2025</v>
      </c>
      <c r="L86" s="292">
        <v>980</v>
      </c>
      <c r="M86" s="292">
        <v>700</v>
      </c>
      <c r="N86" s="292">
        <v>450</v>
      </c>
      <c r="O86" s="292">
        <v>660</v>
      </c>
      <c r="P86" s="292">
        <v>200</v>
      </c>
      <c r="Q86" s="196"/>
      <c r="R86" s="562"/>
      <c r="S86" s="562"/>
      <c r="T86" s="562" t="s">
        <v>100</v>
      </c>
      <c r="U86" s="22" t="s">
        <v>131</v>
      </c>
      <c r="V86" s="546"/>
      <c r="W86" s="164"/>
    </row>
    <row r="87" spans="1:23" ht="15.75">
      <c r="A87" s="256" t="s">
        <v>132</v>
      </c>
      <c r="B87" s="114" t="s">
        <v>117</v>
      </c>
      <c r="C87" s="19">
        <v>18</v>
      </c>
      <c r="D87" s="471">
        <v>8</v>
      </c>
      <c r="E87" s="319">
        <f t="shared" si="14"/>
        <v>9391.77</v>
      </c>
      <c r="F87" s="292" t="s">
        <v>30</v>
      </c>
      <c r="G87" s="293">
        <v>2021</v>
      </c>
      <c r="H87" s="293">
        <v>2021</v>
      </c>
      <c r="I87" s="292">
        <v>160</v>
      </c>
      <c r="J87" s="293">
        <v>2021</v>
      </c>
      <c r="K87" s="293">
        <v>2024</v>
      </c>
      <c r="L87" s="292">
        <v>440</v>
      </c>
      <c r="M87" s="293">
        <v>4111.7700000000004</v>
      </c>
      <c r="N87" s="292">
        <v>4300</v>
      </c>
      <c r="O87" s="292">
        <v>540</v>
      </c>
      <c r="P87" s="292"/>
      <c r="Q87" s="196"/>
      <c r="R87" s="562"/>
      <c r="S87" s="562"/>
      <c r="T87" s="562" t="s">
        <v>100</v>
      </c>
      <c r="U87" s="133" t="s">
        <v>133</v>
      </c>
      <c r="V87" s="546"/>
      <c r="W87" s="164"/>
    </row>
    <row r="88" spans="1:23">
      <c r="A88" s="256" t="s">
        <v>134</v>
      </c>
      <c r="B88" s="114" t="s">
        <v>103</v>
      </c>
      <c r="C88" s="19">
        <v>16</v>
      </c>
      <c r="D88" s="470">
        <v>19</v>
      </c>
      <c r="E88" s="319">
        <f t="shared" si="14"/>
        <v>2720</v>
      </c>
      <c r="F88" s="292" t="s">
        <v>30</v>
      </c>
      <c r="G88" s="293">
        <v>2023</v>
      </c>
      <c r="H88" s="293">
        <v>2023</v>
      </c>
      <c r="I88" s="292">
        <v>120</v>
      </c>
      <c r="J88" s="293">
        <v>2021</v>
      </c>
      <c r="K88" s="293">
        <v>2025</v>
      </c>
      <c r="L88" s="292">
        <v>760</v>
      </c>
      <c r="M88" s="292">
        <v>420</v>
      </c>
      <c r="N88" s="292">
        <v>400</v>
      </c>
      <c r="O88" s="292">
        <v>800</v>
      </c>
      <c r="P88" s="292">
        <v>340</v>
      </c>
      <c r="Q88" s="196"/>
      <c r="R88" s="562"/>
      <c r="S88" s="562"/>
      <c r="T88" s="562" t="s">
        <v>100</v>
      </c>
      <c r="U88" s="22" t="s">
        <v>104</v>
      </c>
      <c r="V88" s="546"/>
      <c r="W88" s="164"/>
    </row>
    <row r="89" spans="1:23" ht="15.75">
      <c r="A89" s="256" t="s">
        <v>135</v>
      </c>
      <c r="B89" s="114" t="s">
        <v>106</v>
      </c>
      <c r="C89" s="19">
        <v>15</v>
      </c>
      <c r="D89" s="470">
        <v>12</v>
      </c>
      <c r="E89" s="319">
        <f t="shared" si="14"/>
        <v>10040.757</v>
      </c>
      <c r="F89" s="292" t="s">
        <v>47</v>
      </c>
      <c r="G89" s="293">
        <v>2021</v>
      </c>
      <c r="H89" s="293">
        <v>2025</v>
      </c>
      <c r="I89" s="292">
        <v>480</v>
      </c>
      <c r="J89" s="293">
        <v>2022</v>
      </c>
      <c r="K89" s="293">
        <v>2025</v>
      </c>
      <c r="L89" s="292">
        <v>50</v>
      </c>
      <c r="M89" s="292">
        <v>349.79700000000003</v>
      </c>
      <c r="N89" s="292">
        <v>1200</v>
      </c>
      <c r="O89" s="292">
        <v>4640.96</v>
      </c>
      <c r="P89" s="292">
        <v>3800</v>
      </c>
      <c r="Q89" s="196"/>
      <c r="R89" s="562"/>
      <c r="S89" s="562"/>
      <c r="T89" s="562" t="s">
        <v>100</v>
      </c>
      <c r="U89" s="133" t="s">
        <v>136</v>
      </c>
      <c r="V89" s="546"/>
      <c r="W89" s="164"/>
    </row>
    <row r="90" spans="1:23">
      <c r="A90" s="256" t="s">
        <v>137</v>
      </c>
      <c r="B90" s="114" t="s">
        <v>109</v>
      </c>
      <c r="C90" s="19">
        <v>9.6</v>
      </c>
      <c r="D90" s="470">
        <v>14</v>
      </c>
      <c r="E90" s="319">
        <f t="shared" si="14"/>
        <v>1844.2729999999999</v>
      </c>
      <c r="F90" s="292" t="s">
        <v>30</v>
      </c>
      <c r="G90" s="293">
        <v>2022</v>
      </c>
      <c r="H90" s="293">
        <v>2025</v>
      </c>
      <c r="I90" s="292">
        <v>210</v>
      </c>
      <c r="J90" s="293">
        <v>2021</v>
      </c>
      <c r="K90" s="293">
        <v>2025</v>
      </c>
      <c r="L90" s="292">
        <v>124.273</v>
      </c>
      <c r="M90" s="292">
        <v>500</v>
      </c>
      <c r="N90" s="299">
        <v>500</v>
      </c>
      <c r="O90" s="292">
        <v>520</v>
      </c>
      <c r="P90" s="292">
        <v>200</v>
      </c>
      <c r="Q90" s="196"/>
      <c r="R90" s="562"/>
      <c r="S90" s="562"/>
      <c r="T90" s="562" t="s">
        <v>100</v>
      </c>
      <c r="U90" s="22" t="s">
        <v>110</v>
      </c>
      <c r="V90" s="546"/>
      <c r="W90" s="164"/>
    </row>
    <row r="91" spans="1:23">
      <c r="A91" s="256" t="s">
        <v>138</v>
      </c>
      <c r="B91" s="321" t="s">
        <v>81</v>
      </c>
      <c r="C91" s="248"/>
      <c r="D91" s="248"/>
      <c r="E91" s="129">
        <f t="shared" si="14"/>
        <v>0</v>
      </c>
      <c r="F91" s="196"/>
      <c r="G91" s="196"/>
      <c r="H91" s="196"/>
      <c r="I91" s="196"/>
      <c r="J91" s="294"/>
      <c r="K91" s="294"/>
      <c r="L91" s="292"/>
      <c r="M91" s="292"/>
      <c r="N91" s="292"/>
      <c r="O91" s="292"/>
      <c r="P91" s="292"/>
      <c r="Q91" s="196"/>
      <c r="R91" s="562"/>
      <c r="S91" s="562"/>
      <c r="T91" s="562" t="s">
        <v>100</v>
      </c>
      <c r="U91" s="248"/>
      <c r="V91" s="546"/>
      <c r="W91" s="164"/>
    </row>
    <row r="92" spans="1:23" ht="30">
      <c r="A92" s="256" t="s">
        <v>139</v>
      </c>
      <c r="B92" s="407" t="s">
        <v>113</v>
      </c>
      <c r="C92" s="19">
        <v>87</v>
      </c>
      <c r="D92" s="19">
        <v>87</v>
      </c>
      <c r="E92" s="319">
        <f t="shared" si="14"/>
        <v>8821.4290000000001</v>
      </c>
      <c r="F92" s="292" t="s">
        <v>30</v>
      </c>
      <c r="G92" s="293">
        <v>2021</v>
      </c>
      <c r="H92" s="293">
        <v>2025</v>
      </c>
      <c r="I92" s="292">
        <f>150+80+30+30</f>
        <v>290</v>
      </c>
      <c r="J92" s="293">
        <v>2021</v>
      </c>
      <c r="K92" s="293">
        <v>2025</v>
      </c>
      <c r="L92" s="293">
        <v>6656.2259999999997</v>
      </c>
      <c r="M92" s="292">
        <v>600</v>
      </c>
      <c r="N92" s="292">
        <v>365.20299999999997</v>
      </c>
      <c r="O92" s="292">
        <v>600</v>
      </c>
      <c r="P92" s="292">
        <v>600</v>
      </c>
      <c r="Q92" s="196"/>
      <c r="R92" s="562"/>
      <c r="S92" s="562"/>
      <c r="T92" s="562" t="s">
        <v>100</v>
      </c>
      <c r="U92" s="133" t="s">
        <v>140</v>
      </c>
      <c r="V92" s="546"/>
      <c r="W92" s="164"/>
    </row>
    <row r="93" spans="1:23">
      <c r="A93" s="256" t="s">
        <v>141</v>
      </c>
      <c r="B93" s="114" t="s">
        <v>404</v>
      </c>
      <c r="C93" s="19">
        <v>29</v>
      </c>
      <c r="D93" s="470">
        <v>19</v>
      </c>
      <c r="E93" s="319">
        <f t="shared" si="14"/>
        <v>12508.906999999999</v>
      </c>
      <c r="F93" s="292" t="s">
        <v>47</v>
      </c>
      <c r="G93" s="293">
        <v>2021</v>
      </c>
      <c r="H93" s="293">
        <v>2025</v>
      </c>
      <c r="I93" s="292">
        <v>350</v>
      </c>
      <c r="J93" s="293">
        <v>2022</v>
      </c>
      <c r="K93" s="293">
        <v>2025</v>
      </c>
      <c r="L93" s="292">
        <v>100</v>
      </c>
      <c r="M93" s="292">
        <v>520</v>
      </c>
      <c r="N93" s="292">
        <v>1662.1669999999999</v>
      </c>
      <c r="O93" s="292">
        <v>4800</v>
      </c>
      <c r="P93" s="292">
        <v>5426.74</v>
      </c>
      <c r="Q93" s="196"/>
      <c r="R93" s="562"/>
      <c r="S93" s="562"/>
      <c r="T93" s="562" t="s">
        <v>100</v>
      </c>
      <c r="U93" s="22" t="s">
        <v>142</v>
      </c>
      <c r="V93" s="546"/>
      <c r="W93" s="164"/>
    </row>
    <row r="94" spans="1:23">
      <c r="A94" s="256" t="s">
        <v>282</v>
      </c>
      <c r="B94" s="298" t="s">
        <v>109</v>
      </c>
      <c r="C94" s="19">
        <v>4.5999999999999996</v>
      </c>
      <c r="D94" s="470">
        <v>11</v>
      </c>
      <c r="E94" s="129">
        <f t="shared" si="14"/>
        <v>1700</v>
      </c>
      <c r="F94" s="292" t="s">
        <v>47</v>
      </c>
      <c r="G94" s="293">
        <v>2021</v>
      </c>
      <c r="H94" s="293">
        <v>2025</v>
      </c>
      <c r="I94" s="292">
        <v>150</v>
      </c>
      <c r="J94" s="293">
        <v>2021</v>
      </c>
      <c r="K94" s="293">
        <v>2025</v>
      </c>
      <c r="L94" s="292">
        <v>300</v>
      </c>
      <c r="M94" s="292">
        <v>300</v>
      </c>
      <c r="N94" s="292">
        <v>400</v>
      </c>
      <c r="O94" s="292">
        <v>300</v>
      </c>
      <c r="P94" s="292">
        <v>400</v>
      </c>
      <c r="Q94" s="196"/>
      <c r="R94" s="562"/>
      <c r="S94" s="562"/>
      <c r="T94" s="562"/>
      <c r="U94" s="22" t="s">
        <v>481</v>
      </c>
      <c r="V94" s="546"/>
      <c r="W94" s="164"/>
    </row>
    <row r="95" spans="1:23">
      <c r="A95" s="256" t="s">
        <v>443</v>
      </c>
      <c r="B95" s="298" t="s">
        <v>103</v>
      </c>
      <c r="C95" s="19">
        <v>12.3</v>
      </c>
      <c r="D95" s="470">
        <v>15</v>
      </c>
      <c r="E95" s="319">
        <f t="shared" si="14"/>
        <v>2822.67</v>
      </c>
      <c r="F95" s="292" t="s">
        <v>47</v>
      </c>
      <c r="G95" s="293">
        <v>2021</v>
      </c>
      <c r="H95" s="293">
        <v>2023</v>
      </c>
      <c r="I95" s="292">
        <v>80</v>
      </c>
      <c r="J95" s="293">
        <v>2021</v>
      </c>
      <c r="K95" s="293">
        <v>2025</v>
      </c>
      <c r="L95" s="292">
        <v>995.76</v>
      </c>
      <c r="M95" s="292">
        <v>250</v>
      </c>
      <c r="N95" s="292">
        <v>250</v>
      </c>
      <c r="O95" s="292">
        <v>683</v>
      </c>
      <c r="P95" s="292">
        <v>643.91</v>
      </c>
      <c r="Q95" s="196"/>
      <c r="R95" s="560"/>
      <c r="S95" s="560"/>
      <c r="T95" s="560"/>
      <c r="U95" s="22" t="s">
        <v>482</v>
      </c>
      <c r="V95" s="547"/>
      <c r="W95" s="164"/>
    </row>
    <row r="96" spans="1:23" s="24" customFormat="1">
      <c r="A96" s="164"/>
      <c r="B96" s="540" t="s">
        <v>143</v>
      </c>
      <c r="C96" s="540"/>
      <c r="D96" s="540"/>
      <c r="E96" s="28">
        <f>E97+E98</f>
        <v>10864.692999999999</v>
      </c>
      <c r="F96" s="196"/>
      <c r="G96" s="196"/>
      <c r="H96" s="196"/>
      <c r="I96" s="28">
        <f>I97+I98</f>
        <v>1010</v>
      </c>
      <c r="J96" s="196"/>
      <c r="K96" s="196"/>
      <c r="L96" s="28">
        <f>L97+L98</f>
        <v>520</v>
      </c>
      <c r="M96" s="28">
        <f t="shared" ref="M96:N96" si="15">M97+M98</f>
        <v>2404.6930000000002</v>
      </c>
      <c r="N96" s="28">
        <f t="shared" si="15"/>
        <v>1970</v>
      </c>
      <c r="O96" s="28">
        <f t="shared" ref="O96:P96" si="16">O97+O98</f>
        <v>1060</v>
      </c>
      <c r="P96" s="28">
        <f t="shared" si="16"/>
        <v>4910</v>
      </c>
      <c r="Q96" s="196"/>
      <c r="R96" s="209"/>
      <c r="S96" s="196"/>
      <c r="T96" s="27"/>
      <c r="U96" s="248"/>
      <c r="V96" s="164"/>
      <c r="W96" s="164"/>
    </row>
    <row r="97" spans="1:23" s="24" customFormat="1">
      <c r="A97" s="164"/>
      <c r="B97" s="29" t="s">
        <v>144</v>
      </c>
      <c r="C97" s="30">
        <f>C57+C60+C64+C67</f>
        <v>12</v>
      </c>
      <c r="D97" s="30">
        <f>D57+D60+D64+D67</f>
        <v>12</v>
      </c>
      <c r="E97" s="30">
        <f>E57+E60+E64+E67</f>
        <v>3340</v>
      </c>
      <c r="F97" s="196"/>
      <c r="G97" s="196"/>
      <c r="H97" s="196"/>
      <c r="I97" s="30">
        <f>I57+I60+I64+I67</f>
        <v>270</v>
      </c>
      <c r="J97" s="196"/>
      <c r="K97" s="196"/>
      <c r="L97" s="30">
        <f>L57+L60+L64+L67</f>
        <v>520</v>
      </c>
      <c r="M97" s="30">
        <f t="shared" ref="M97:N97" si="17">M57+M60+M64+M67</f>
        <v>1490</v>
      </c>
      <c r="N97" s="30">
        <f t="shared" si="17"/>
        <v>870</v>
      </c>
      <c r="O97" s="30">
        <f t="shared" ref="O97:P97" si="18">O57+O60+O64+O67</f>
        <v>460</v>
      </c>
      <c r="P97" s="30">
        <f t="shared" si="18"/>
        <v>0</v>
      </c>
      <c r="Q97" s="196"/>
      <c r="R97" s="209"/>
      <c r="S97" s="196"/>
      <c r="T97" s="27"/>
      <c r="U97" s="248"/>
      <c r="V97" s="164"/>
      <c r="W97" s="164"/>
    </row>
    <row r="98" spans="1:23" s="24" customFormat="1">
      <c r="A98" s="164"/>
      <c r="B98" s="29" t="s">
        <v>145</v>
      </c>
      <c r="C98" s="196">
        <f>C54+C55+C58+C61+C62+C65</f>
        <v>20.059999999999999</v>
      </c>
      <c r="D98" s="196">
        <f>D54+D55+D58+D61+D62+D65</f>
        <v>20</v>
      </c>
      <c r="E98" s="196">
        <f>E54+E55+E58+E61+E62+E65</f>
        <v>7524.6930000000002</v>
      </c>
      <c r="F98" s="196"/>
      <c r="G98" s="196"/>
      <c r="H98" s="196"/>
      <c r="I98" s="196">
        <f>I54+I55+I58+I61+I62+I65</f>
        <v>740</v>
      </c>
      <c r="J98" s="196"/>
      <c r="K98" s="196"/>
      <c r="L98" s="196">
        <f>L54+L55+L58+L61+L62+L65</f>
        <v>0</v>
      </c>
      <c r="M98" s="196">
        <f t="shared" ref="M98:N98" si="19">M54+M55+M58+M61+M62+M65</f>
        <v>914.69299999999998</v>
      </c>
      <c r="N98" s="196">
        <f t="shared" si="19"/>
        <v>1100</v>
      </c>
      <c r="O98" s="196">
        <f t="shared" ref="O98:P98" si="20">O54+O55+O58+O61+O62+O65</f>
        <v>600</v>
      </c>
      <c r="P98" s="196">
        <f t="shared" si="20"/>
        <v>4910</v>
      </c>
      <c r="Q98" s="196"/>
      <c r="R98" s="209"/>
      <c r="S98" s="196"/>
      <c r="T98" s="196"/>
      <c r="U98" s="248"/>
      <c r="V98" s="164"/>
      <c r="W98" s="164"/>
    </row>
    <row r="99" spans="1:23" s="24" customFormat="1">
      <c r="A99" s="164"/>
      <c r="B99" s="540" t="s">
        <v>146</v>
      </c>
      <c r="C99" s="540"/>
      <c r="D99" s="540"/>
      <c r="E99" s="31">
        <f t="shared" ref="E99" si="21">E100+E101</f>
        <v>93101.55498999999</v>
      </c>
      <c r="F99" s="196"/>
      <c r="G99" s="196"/>
      <c r="H99" s="196"/>
      <c r="I99" s="31">
        <f t="shared" ref="I99" si="22">I100+I101</f>
        <v>5245</v>
      </c>
      <c r="J99" s="196"/>
      <c r="K99" s="196"/>
      <c r="L99" s="31">
        <f t="shared" ref="L99:P99" si="23">L100+L101</f>
        <v>23946.367989999999</v>
      </c>
      <c r="M99" s="31">
        <f t="shared" si="23"/>
        <v>13684.567000000001</v>
      </c>
      <c r="N99" s="31">
        <f t="shared" si="23"/>
        <v>16277.369999999999</v>
      </c>
      <c r="O99" s="31">
        <f t="shared" si="23"/>
        <v>23118.28</v>
      </c>
      <c r="P99" s="31">
        <f t="shared" si="23"/>
        <v>16074.97</v>
      </c>
      <c r="Q99" s="196"/>
      <c r="R99" s="209"/>
      <c r="S99" s="196"/>
      <c r="T99" s="196"/>
      <c r="U99" s="248"/>
      <c r="V99" s="164"/>
      <c r="W99" s="164"/>
    </row>
    <row r="100" spans="1:23" s="24" customFormat="1">
      <c r="A100" s="164"/>
      <c r="B100" s="29" t="s">
        <v>144</v>
      </c>
      <c r="C100" s="30">
        <f>C70+C75+C80+C86+C92</f>
        <v>241</v>
      </c>
      <c r="D100" s="477">
        <f>D70+D75+D80+D86+D92</f>
        <v>241</v>
      </c>
      <c r="E100" s="30">
        <f>E70+E75+E80+E86+E92</f>
        <v>21031.429</v>
      </c>
      <c r="F100" s="196"/>
      <c r="G100" s="196"/>
      <c r="H100" s="196"/>
      <c r="I100" s="30">
        <f>I70+I75+I80+I86+I92</f>
        <v>1425</v>
      </c>
      <c r="J100" s="196"/>
      <c r="K100" s="196"/>
      <c r="L100" s="30">
        <f>L70+L75+L80+L86+L92</f>
        <v>11536.225999999999</v>
      </c>
      <c r="M100" s="30">
        <f t="shared" ref="M100:N100" si="24">M70+M75+M80+M86+M92</f>
        <v>2700</v>
      </c>
      <c r="N100" s="30">
        <f t="shared" si="24"/>
        <v>2115.203</v>
      </c>
      <c r="O100" s="30">
        <f t="shared" ref="O100:P100" si="25">O70+O75+O80+O86+O92</f>
        <v>2840</v>
      </c>
      <c r="P100" s="30">
        <f t="shared" si="25"/>
        <v>1840</v>
      </c>
      <c r="Q100" s="196"/>
      <c r="R100" s="209"/>
      <c r="S100" s="196"/>
      <c r="T100" s="196"/>
      <c r="U100" s="248"/>
      <c r="V100" s="164"/>
      <c r="W100" s="164"/>
    </row>
    <row r="101" spans="1:23" s="24" customFormat="1">
      <c r="A101" s="164"/>
      <c r="B101" s="29" t="s">
        <v>145</v>
      </c>
      <c r="C101" s="31">
        <f>C71+C72+C73+C76+C77+C78+C81+C82+C83+C84+C87+C88+C89+C90+C93+C94+C95</f>
        <v>210.63</v>
      </c>
      <c r="D101" s="477">
        <f>D71+D72+D73+D76+D77+D78+D81+D82+D83+D84+D87+D88+D89+D90+D93+D94+D95</f>
        <v>268</v>
      </c>
      <c r="E101" s="31">
        <f>E71+E72+E73+E76+E77+E78+E81+E82+E83+E84+E87+E88+E89+E90+E93+E94+E95</f>
        <v>72070.125989999986</v>
      </c>
      <c r="F101" s="196"/>
      <c r="G101" s="196"/>
      <c r="H101" s="196"/>
      <c r="I101" s="31">
        <f>I71+I72+I73+I76+I77+I78+I81+I82+I83+I84+I87+I88+I89+I90+I93+I94+I95</f>
        <v>3820</v>
      </c>
      <c r="J101" s="196"/>
      <c r="K101" s="196"/>
      <c r="L101" s="31">
        <f>L71+L72+L73+L76+L77+L78+L81+L82+L83+L84+L87+L88+L89+L90+L93+L94+L95</f>
        <v>12410.14199</v>
      </c>
      <c r="M101" s="31">
        <f t="shared" ref="M101:N101" si="26">M71+M72+M73+M76+M77+M78+M81+M82+M83+M84+M87+M88+M89+M90+M93+M94+M95</f>
        <v>10984.567000000001</v>
      </c>
      <c r="N101" s="31">
        <f t="shared" si="26"/>
        <v>14162.166999999999</v>
      </c>
      <c r="O101" s="31">
        <f t="shared" ref="O101:P101" si="27">O71+O72+O73+O76+O77+O78+O81+O82+O83+O84+O87+O88+O89+O90+O93+O94+O95</f>
        <v>20278.28</v>
      </c>
      <c r="P101" s="31">
        <f t="shared" si="27"/>
        <v>14234.97</v>
      </c>
      <c r="Q101" s="196"/>
      <c r="R101" s="209"/>
      <c r="S101" s="196"/>
      <c r="T101" s="196"/>
      <c r="U101" s="248"/>
      <c r="V101" s="164"/>
      <c r="W101" s="164"/>
    </row>
    <row r="102" spans="1:23">
      <c r="A102" s="256"/>
      <c r="B102" s="540" t="s">
        <v>147</v>
      </c>
      <c r="C102" s="540"/>
      <c r="D102" s="540"/>
      <c r="E102" s="196">
        <f>E96+E99</f>
        <v>103966.24798999999</v>
      </c>
      <c r="F102" s="196"/>
      <c r="G102" s="196"/>
      <c r="H102" s="196"/>
      <c r="I102" s="196">
        <f>I96+I99</f>
        <v>6255</v>
      </c>
      <c r="J102" s="196"/>
      <c r="K102" s="196"/>
      <c r="L102" s="196">
        <f>L96+L99</f>
        <v>24466.367989999999</v>
      </c>
      <c r="M102" s="196">
        <f t="shared" ref="M102:N102" si="28">M96+M99</f>
        <v>16089.260000000002</v>
      </c>
      <c r="N102" s="196">
        <f t="shared" si="28"/>
        <v>18247.37</v>
      </c>
      <c r="O102" s="196">
        <f t="shared" ref="O102:P102" si="29">O96+O99</f>
        <v>24178.28</v>
      </c>
      <c r="P102" s="196">
        <f t="shared" si="29"/>
        <v>20984.97</v>
      </c>
      <c r="Q102" s="196"/>
      <c r="R102" s="209"/>
      <c r="S102" s="196"/>
      <c r="T102" s="196"/>
      <c r="U102" s="248"/>
      <c r="V102" s="164"/>
      <c r="W102" s="164"/>
    </row>
    <row r="103" spans="1:23" s="5" customFormat="1">
      <c r="A103" s="3">
        <v>5</v>
      </c>
      <c r="B103" s="541" t="s">
        <v>148</v>
      </c>
      <c r="C103" s="541"/>
      <c r="D103" s="541"/>
      <c r="E103" s="4"/>
      <c r="F103" s="4"/>
      <c r="G103" s="4"/>
      <c r="H103" s="4"/>
      <c r="I103" s="4"/>
      <c r="J103" s="4"/>
      <c r="K103" s="4"/>
      <c r="L103" s="128"/>
      <c r="M103" s="128"/>
      <c r="N103" s="128"/>
      <c r="O103" s="128"/>
      <c r="P103" s="128"/>
      <c r="Q103" s="4"/>
      <c r="R103" s="205"/>
      <c r="S103" s="4"/>
      <c r="T103" s="4"/>
      <c r="U103" s="4"/>
      <c r="V103" s="4"/>
      <c r="W103" s="4"/>
    </row>
    <row r="104" spans="1:23" s="10" customFormat="1" ht="50.25" customHeight="1">
      <c r="A104" s="32" t="s">
        <v>499</v>
      </c>
      <c r="B104" s="33" t="s">
        <v>151</v>
      </c>
      <c r="C104" s="34"/>
      <c r="D104" s="34"/>
      <c r="E104" s="217">
        <f>I104+L104+M104+N104+O104+P104</f>
        <v>4000</v>
      </c>
      <c r="F104" s="34"/>
      <c r="G104" s="35"/>
      <c r="H104" s="35"/>
      <c r="I104" s="34"/>
      <c r="J104" s="34"/>
      <c r="K104" s="34"/>
      <c r="L104" s="34">
        <v>800</v>
      </c>
      <c r="M104" s="34">
        <v>800</v>
      </c>
      <c r="N104" s="34">
        <v>800</v>
      </c>
      <c r="O104" s="34">
        <v>800</v>
      </c>
      <c r="P104" s="34">
        <v>800</v>
      </c>
      <c r="Q104" s="36"/>
      <c r="R104" s="530" t="s">
        <v>750</v>
      </c>
      <c r="S104" s="34">
        <v>1</v>
      </c>
      <c r="T104" s="34" t="s">
        <v>149</v>
      </c>
      <c r="U104" s="34"/>
      <c r="V104" s="34" t="s">
        <v>804</v>
      </c>
      <c r="W104" s="469"/>
    </row>
    <row r="105" spans="1:23" s="10" customFormat="1" ht="30">
      <c r="A105" s="32" t="s">
        <v>150</v>
      </c>
      <c r="B105" s="33" t="s">
        <v>154</v>
      </c>
      <c r="C105" s="34"/>
      <c r="D105" s="34"/>
      <c r="E105" s="217">
        <f t="shared" ref="E105" si="30">I105+L105+M105+N105+O105+P105</f>
        <v>202350.12299999999</v>
      </c>
      <c r="F105" s="34"/>
      <c r="G105" s="34"/>
      <c r="H105" s="34"/>
      <c r="I105" s="34"/>
      <c r="J105" s="34"/>
      <c r="K105" s="34"/>
      <c r="L105" s="322">
        <v>32790.423000000003</v>
      </c>
      <c r="M105" s="322">
        <v>36555</v>
      </c>
      <c r="N105" s="322">
        <v>40197.9</v>
      </c>
      <c r="O105" s="322">
        <v>44202.299999999996</v>
      </c>
      <c r="P105" s="322">
        <v>48604.5</v>
      </c>
      <c r="Q105" s="36"/>
      <c r="R105" s="531"/>
      <c r="S105" s="34" t="s">
        <v>489</v>
      </c>
      <c r="T105" s="34" t="s">
        <v>149</v>
      </c>
      <c r="U105" s="34"/>
      <c r="V105" s="34" t="s">
        <v>805</v>
      </c>
      <c r="W105" s="469"/>
    </row>
    <row r="106" spans="1:23" s="10" customFormat="1" ht="60">
      <c r="A106" s="32" t="s">
        <v>153</v>
      </c>
      <c r="B106" s="33" t="s">
        <v>160</v>
      </c>
      <c r="C106" s="34"/>
      <c r="D106" s="34"/>
      <c r="E106" s="217">
        <f t="shared" ref="E106:E110" si="31">I106+L106+M106+N106+O106+P106</f>
        <v>62898.83</v>
      </c>
      <c r="F106" s="34"/>
      <c r="G106" s="34"/>
      <c r="H106" s="34"/>
      <c r="I106" s="34"/>
      <c r="J106" s="34"/>
      <c r="K106" s="34"/>
      <c r="L106" s="322">
        <f>SUM(L109:L110)</f>
        <v>10132.9</v>
      </c>
      <c r="M106" s="322">
        <f t="shared" ref="M106:P106" si="32">SUM(M109:M110)</f>
        <v>11257.69</v>
      </c>
      <c r="N106" s="322">
        <f t="shared" si="32"/>
        <v>12463.82</v>
      </c>
      <c r="O106" s="322">
        <f t="shared" si="32"/>
        <v>13791.37</v>
      </c>
      <c r="P106" s="322">
        <f t="shared" si="32"/>
        <v>15253.05</v>
      </c>
      <c r="Q106" s="36"/>
      <c r="R106" s="531"/>
      <c r="S106" s="34">
        <v>8.9</v>
      </c>
      <c r="T106" s="34" t="s">
        <v>149</v>
      </c>
      <c r="U106" s="34"/>
      <c r="V106" s="34" t="s">
        <v>480</v>
      </c>
      <c r="W106" s="469"/>
    </row>
    <row r="107" spans="1:23" ht="30" hidden="1" customHeight="1">
      <c r="A107" s="255" t="s">
        <v>161</v>
      </c>
      <c r="B107" s="14" t="s">
        <v>162</v>
      </c>
      <c r="C107" s="12"/>
      <c r="D107" s="12"/>
      <c r="E107" s="336">
        <f t="shared" si="31"/>
        <v>45772.83</v>
      </c>
      <c r="F107" s="12"/>
      <c r="G107" s="12"/>
      <c r="H107" s="12"/>
      <c r="I107" s="12"/>
      <c r="J107" s="12"/>
      <c r="K107" s="12"/>
      <c r="L107" s="328">
        <f>L106-L108</f>
        <v>5706.9</v>
      </c>
      <c r="M107" s="328">
        <f t="shared" ref="M107:P107" si="33">M106-M108</f>
        <v>7057.6900000000005</v>
      </c>
      <c r="N107" s="328">
        <f t="shared" si="33"/>
        <v>10002.82</v>
      </c>
      <c r="O107" s="328">
        <f t="shared" si="33"/>
        <v>9991.3700000000008</v>
      </c>
      <c r="P107" s="328">
        <f t="shared" si="33"/>
        <v>13014.05</v>
      </c>
      <c r="Q107" s="18"/>
      <c r="R107" s="531"/>
      <c r="S107" s="12"/>
      <c r="T107" s="12"/>
      <c r="U107" s="12"/>
      <c r="V107" s="12"/>
      <c r="W107" s="462"/>
    </row>
    <row r="108" spans="1:23" ht="45" hidden="1" customHeight="1">
      <c r="A108" s="255" t="s">
        <v>163</v>
      </c>
      <c r="B108" s="14" t="s">
        <v>164</v>
      </c>
      <c r="C108" s="12"/>
      <c r="D108" s="12"/>
      <c r="E108" s="336">
        <f t="shared" si="31"/>
        <v>17126</v>
      </c>
      <c r="F108" s="12"/>
      <c r="G108" s="12"/>
      <c r="H108" s="12"/>
      <c r="I108" s="12"/>
      <c r="J108" s="12"/>
      <c r="K108" s="12"/>
      <c r="L108" s="328">
        <v>4426</v>
      </c>
      <c r="M108" s="328">
        <v>4200</v>
      </c>
      <c r="N108" s="328">
        <v>2461</v>
      </c>
      <c r="O108" s="328">
        <v>3800</v>
      </c>
      <c r="P108" s="328">
        <v>2239</v>
      </c>
      <c r="Q108" s="18"/>
      <c r="R108" s="531"/>
      <c r="S108" s="12"/>
      <c r="T108" s="12"/>
      <c r="U108" s="12"/>
      <c r="V108" s="12"/>
      <c r="W108" s="462"/>
    </row>
    <row r="109" spans="1:23" ht="45" customHeight="1">
      <c r="A109" s="255" t="s">
        <v>155</v>
      </c>
      <c r="B109" s="14" t="s">
        <v>162</v>
      </c>
      <c r="C109" s="12"/>
      <c r="D109" s="12"/>
      <c r="E109" s="336">
        <f t="shared" si="31"/>
        <v>15053.383</v>
      </c>
      <c r="F109" s="12"/>
      <c r="G109" s="12"/>
      <c r="H109" s="12"/>
      <c r="I109" s="12"/>
      <c r="J109" s="12"/>
      <c r="K109" s="12"/>
      <c r="L109" s="284">
        <v>1753.383</v>
      </c>
      <c r="M109" s="284">
        <v>1780</v>
      </c>
      <c r="N109" s="284">
        <v>4140</v>
      </c>
      <c r="O109" s="284">
        <v>3180</v>
      </c>
      <c r="P109" s="284">
        <v>4200</v>
      </c>
      <c r="Q109" s="18"/>
      <c r="R109" s="531"/>
      <c r="S109" s="12"/>
      <c r="T109" s="12"/>
      <c r="U109" s="12"/>
      <c r="V109" s="12"/>
      <c r="W109" s="484"/>
    </row>
    <row r="110" spans="1:23" ht="45" customHeight="1">
      <c r="A110" s="255" t="s">
        <v>156</v>
      </c>
      <c r="B110" s="14" t="s">
        <v>164</v>
      </c>
      <c r="C110" s="12"/>
      <c r="D110" s="12"/>
      <c r="E110" s="336">
        <f t="shared" si="31"/>
        <v>47845.447</v>
      </c>
      <c r="F110" s="12"/>
      <c r="G110" s="12"/>
      <c r="H110" s="12"/>
      <c r="I110" s="12"/>
      <c r="J110" s="12"/>
      <c r="K110" s="12"/>
      <c r="L110" s="284">
        <v>8379.5169999999998</v>
      </c>
      <c r="M110" s="284">
        <v>9477.69</v>
      </c>
      <c r="N110" s="284">
        <v>8323.82</v>
      </c>
      <c r="O110" s="284">
        <v>10611.37</v>
      </c>
      <c r="P110" s="284">
        <v>11053.05</v>
      </c>
      <c r="Q110" s="18"/>
      <c r="R110" s="531"/>
      <c r="S110" s="12"/>
      <c r="T110" s="12"/>
      <c r="U110" s="12"/>
      <c r="V110" s="12"/>
      <c r="W110" s="484"/>
    </row>
    <row r="111" spans="1:23" s="10" customFormat="1" ht="30">
      <c r="A111" s="32" t="s">
        <v>159</v>
      </c>
      <c r="B111" s="33" t="s">
        <v>299</v>
      </c>
      <c r="C111" s="34"/>
      <c r="D111" s="34"/>
      <c r="E111" s="217">
        <f>I111+L111+M111+N111+O111+P111</f>
        <v>63001.432000000001</v>
      </c>
      <c r="F111" s="34"/>
      <c r="G111" s="34"/>
      <c r="H111" s="34"/>
      <c r="I111" s="34"/>
      <c r="J111" s="34"/>
      <c r="K111" s="34"/>
      <c r="L111" s="322">
        <v>9927.5619999999999</v>
      </c>
      <c r="M111" s="322">
        <v>11312.31</v>
      </c>
      <c r="N111" s="322">
        <v>12534.78</v>
      </c>
      <c r="O111" s="322">
        <v>13876.83</v>
      </c>
      <c r="P111" s="322">
        <v>15349.95</v>
      </c>
      <c r="Q111" s="36"/>
      <c r="R111" s="531"/>
      <c r="S111" s="198">
        <v>1.2</v>
      </c>
      <c r="T111" s="198" t="s">
        <v>175</v>
      </c>
      <c r="U111" s="34"/>
      <c r="V111" s="34" t="s">
        <v>806</v>
      </c>
      <c r="W111" s="469"/>
    </row>
    <row r="112" spans="1:23" s="10" customFormat="1" ht="30">
      <c r="A112" s="142" t="s">
        <v>165</v>
      </c>
      <c r="B112" s="143" t="s">
        <v>396</v>
      </c>
      <c r="C112" s="144"/>
      <c r="D112" s="144"/>
      <c r="E112" s="217">
        <f>I112+L112+M112+N112+O112+P112</f>
        <v>5000</v>
      </c>
      <c r="F112" s="144"/>
      <c r="G112" s="144"/>
      <c r="H112" s="144"/>
      <c r="I112" s="144"/>
      <c r="J112" s="144"/>
      <c r="K112" s="144"/>
      <c r="L112" s="329">
        <v>1000</v>
      </c>
      <c r="M112" s="329">
        <v>1000</v>
      </c>
      <c r="N112" s="329">
        <v>1000</v>
      </c>
      <c r="O112" s="329">
        <v>1000</v>
      </c>
      <c r="P112" s="329">
        <v>1000</v>
      </c>
      <c r="Q112" s="36"/>
      <c r="R112" s="532"/>
      <c r="S112" s="34">
        <v>1</v>
      </c>
      <c r="T112" s="34"/>
      <c r="U112" s="34"/>
      <c r="V112" s="34" t="s">
        <v>480</v>
      </c>
      <c r="W112" s="469"/>
    </row>
    <row r="113" spans="1:25">
      <c r="A113" s="142"/>
      <c r="B113" s="540" t="s">
        <v>166</v>
      </c>
      <c r="C113" s="540"/>
      <c r="D113" s="540"/>
      <c r="E113" s="194">
        <f>E111+E106+E105+E104+E112</f>
        <v>337250.38500000001</v>
      </c>
      <c r="F113" s="195"/>
      <c r="G113" s="195"/>
      <c r="H113" s="195"/>
      <c r="I113" s="194">
        <f>I111+I106+I105+I104+I112</f>
        <v>0</v>
      </c>
      <c r="J113" s="195"/>
      <c r="K113" s="195"/>
      <c r="L113" s="195">
        <f>L111+L106+L105+L104+L112</f>
        <v>54650.885000000002</v>
      </c>
      <c r="M113" s="195">
        <f>M111+M106+M105+M104+M112</f>
        <v>60925</v>
      </c>
      <c r="N113" s="195">
        <f>N111+N106+N105+N104+N112</f>
        <v>66996.5</v>
      </c>
      <c r="O113" s="195">
        <f>O111+O106+O105+O104+O112</f>
        <v>73670.5</v>
      </c>
      <c r="P113" s="195">
        <f>P111+P106+P105+P104+P112</f>
        <v>81007.5</v>
      </c>
      <c r="Q113" s="12"/>
      <c r="R113" s="12"/>
      <c r="S113" s="12"/>
      <c r="T113" s="12"/>
      <c r="U113" s="12"/>
      <c r="V113" s="12"/>
      <c r="W113" s="12"/>
    </row>
    <row r="114" spans="1:25" s="5" customFormat="1">
      <c r="A114" s="95"/>
      <c r="B114" s="25" t="s">
        <v>167</v>
      </c>
      <c r="C114" s="25"/>
      <c r="D114" s="25"/>
      <c r="E114" s="103">
        <f>E113+E102+E51</f>
        <v>1349000.9999899999</v>
      </c>
      <c r="F114" s="103"/>
      <c r="G114" s="103"/>
      <c r="H114" s="103"/>
      <c r="I114" s="103">
        <f>I113+I102+I51</f>
        <v>12827</v>
      </c>
      <c r="J114" s="103"/>
      <c r="K114" s="103"/>
      <c r="L114" s="103">
        <f>L113+L102+L51</f>
        <v>218602.99999000001</v>
      </c>
      <c r="M114" s="103">
        <f>M113+M102+M51</f>
        <v>243700</v>
      </c>
      <c r="N114" s="103">
        <f>N113+N102+N51</f>
        <v>267986</v>
      </c>
      <c r="O114" s="103">
        <f>O113+O102+O51</f>
        <v>294682</v>
      </c>
      <c r="P114" s="103">
        <f>P113+P102+P51</f>
        <v>324030</v>
      </c>
      <c r="Q114" s="96"/>
      <c r="R114" s="90"/>
      <c r="S114" s="90"/>
      <c r="T114" s="90"/>
      <c r="U114" s="90"/>
      <c r="V114" s="90"/>
      <c r="W114" s="90"/>
    </row>
    <row r="115" spans="1:25">
      <c r="A115" s="1"/>
      <c r="B115" s="39"/>
      <c r="C115" s="39"/>
      <c r="D115" s="39"/>
      <c r="E115" s="138"/>
      <c r="F115" s="40"/>
      <c r="G115" s="40"/>
      <c r="H115" s="40"/>
      <c r="I115" s="41"/>
      <c r="J115" s="40"/>
      <c r="K115" s="40"/>
      <c r="L115" s="40"/>
      <c r="M115" s="40"/>
      <c r="N115" s="40"/>
      <c r="O115" s="40"/>
      <c r="P115" s="40"/>
      <c r="Q115" s="40"/>
      <c r="R115" s="40"/>
      <c r="S115" s="40"/>
      <c r="T115" s="40"/>
      <c r="U115" s="40"/>
      <c r="V115" s="40"/>
      <c r="W115" s="40"/>
    </row>
    <row r="116" spans="1:25">
      <c r="A116" s="1"/>
      <c r="B116" s="39"/>
      <c r="C116" s="39"/>
      <c r="D116" s="39"/>
      <c r="E116" s="138"/>
      <c r="F116" s="40"/>
      <c r="G116" s="40"/>
      <c r="H116" s="40"/>
      <c r="I116" s="41"/>
      <c r="J116" s="40"/>
      <c r="K116" s="40"/>
      <c r="L116" s="375"/>
      <c r="M116" s="375"/>
      <c r="N116" s="375"/>
      <c r="O116" s="375"/>
      <c r="P116" s="375"/>
      <c r="Q116" s="40"/>
      <c r="R116" s="40"/>
      <c r="S116" s="40"/>
      <c r="T116" s="40"/>
      <c r="U116" s="40"/>
      <c r="V116" s="40"/>
      <c r="W116" s="40"/>
    </row>
    <row r="117" spans="1:25" s="44" customFormat="1">
      <c r="A117" s="42" t="s">
        <v>168</v>
      </c>
      <c r="B117" s="42"/>
      <c r="C117" s="42"/>
      <c r="D117" s="42"/>
      <c r="E117" s="59"/>
      <c r="F117" s="42"/>
      <c r="G117" s="42"/>
      <c r="H117" s="42"/>
      <c r="I117" s="42"/>
      <c r="J117" s="40"/>
      <c r="K117" s="40"/>
      <c r="L117" s="444"/>
      <c r="M117" s="444"/>
      <c r="N117" s="444"/>
      <c r="O117" s="444"/>
      <c r="P117" s="444"/>
      <c r="Q117" s="40"/>
      <c r="R117" s="40"/>
      <c r="S117" s="42"/>
      <c r="T117" s="42"/>
      <c r="U117" s="42"/>
      <c r="V117" s="2"/>
      <c r="W117" s="2"/>
      <c r="X117" s="250"/>
    </row>
    <row r="118" spans="1:25" s="45" customFormat="1">
      <c r="A118" s="42" t="s">
        <v>169</v>
      </c>
      <c r="B118" s="42"/>
      <c r="C118" s="42"/>
      <c r="D118" s="42"/>
      <c r="E118" s="137"/>
      <c r="F118" s="42"/>
      <c r="J118" s="40"/>
      <c r="K118" s="40"/>
      <c r="L118" s="444"/>
      <c r="M118" s="444"/>
      <c r="N118" s="444"/>
      <c r="O118" s="444"/>
      <c r="P118" s="444"/>
      <c r="Q118" s="40"/>
      <c r="R118" s="40"/>
      <c r="S118" s="190"/>
    </row>
    <row r="119" spans="1:25" s="45" customFormat="1" ht="15" customHeight="1">
      <c r="A119" s="42"/>
      <c r="B119" s="42"/>
      <c r="C119" s="42"/>
      <c r="D119" s="42"/>
      <c r="E119" s="137"/>
      <c r="F119" s="42"/>
      <c r="J119" s="40"/>
      <c r="K119" s="40"/>
      <c r="L119" s="445"/>
      <c r="M119" s="445"/>
      <c r="N119" s="445"/>
      <c r="O119" s="445"/>
      <c r="P119" s="445"/>
      <c r="Q119" s="40"/>
      <c r="R119" s="40"/>
      <c r="S119" s="190"/>
    </row>
    <row r="120" spans="1:25" s="44" customFormat="1">
      <c r="B120" s="42"/>
      <c r="C120" s="250"/>
      <c r="F120" s="250"/>
      <c r="G120" s="250"/>
      <c r="H120" s="250"/>
      <c r="I120" s="250"/>
      <c r="J120" s="40"/>
      <c r="K120" s="40"/>
      <c r="L120" s="40"/>
      <c r="M120" s="40"/>
      <c r="N120" s="40"/>
      <c r="O120" s="40"/>
      <c r="P120" s="40"/>
      <c r="Q120" s="40"/>
      <c r="R120" s="40"/>
      <c r="S120" s="190"/>
      <c r="T120" s="250"/>
      <c r="U120" s="250"/>
      <c r="V120" s="47"/>
      <c r="W120" s="48"/>
      <c r="X120" s="48"/>
    </row>
    <row r="121" spans="1:25" s="44" customFormat="1" ht="21.75" customHeight="1">
      <c r="B121" s="139" t="s">
        <v>392</v>
      </c>
      <c r="C121" s="250"/>
      <c r="D121" s="479"/>
      <c r="E121" s="478"/>
      <c r="F121" s="140"/>
      <c r="G121" s="140"/>
      <c r="H121" s="250"/>
      <c r="I121" s="374" t="s">
        <v>265</v>
      </c>
      <c r="J121" s="374"/>
      <c r="K121" s="40"/>
      <c r="L121" s="376"/>
      <c r="M121" s="376"/>
      <c r="N121" s="376"/>
      <c r="O121" s="376"/>
      <c r="P121" s="376"/>
      <c r="Q121" s="40"/>
      <c r="R121" s="210"/>
      <c r="S121" s="190"/>
      <c r="T121" s="250"/>
      <c r="U121" s="250"/>
      <c r="V121" s="47"/>
      <c r="W121" s="48"/>
      <c r="X121" s="48"/>
    </row>
    <row r="122" spans="1:25" s="44" customFormat="1" ht="15" customHeight="1">
      <c r="B122" s="49" t="s">
        <v>393</v>
      </c>
      <c r="C122" s="250"/>
      <c r="E122" s="528" t="s">
        <v>170</v>
      </c>
      <c r="F122" s="528"/>
      <c r="G122" s="528"/>
      <c r="H122" s="250"/>
      <c r="I122" s="561" t="s">
        <v>171</v>
      </c>
      <c r="J122" s="561"/>
      <c r="K122" s="561"/>
      <c r="L122" s="377"/>
      <c r="M122" s="377"/>
      <c r="N122" s="377"/>
      <c r="O122" s="377"/>
      <c r="P122" s="377"/>
      <c r="Q122" s="250"/>
      <c r="R122" s="210"/>
      <c r="S122" s="190"/>
      <c r="T122" s="250"/>
      <c r="U122" s="250"/>
      <c r="V122" s="50"/>
      <c r="W122" s="48"/>
      <c r="X122" s="48"/>
    </row>
    <row r="123" spans="1:25" s="51" customFormat="1" ht="15" customHeight="1">
      <c r="B123" s="52" t="s">
        <v>172</v>
      </c>
      <c r="C123" s="250"/>
      <c r="E123" s="529" t="s">
        <v>173</v>
      </c>
      <c r="F123" s="529"/>
      <c r="G123" s="529"/>
      <c r="H123" s="250"/>
      <c r="I123" s="373"/>
      <c r="J123" s="372"/>
      <c r="K123" s="372"/>
      <c r="L123" s="378"/>
      <c r="M123" s="378"/>
      <c r="N123" s="378"/>
      <c r="O123" s="378"/>
      <c r="P123" s="378"/>
      <c r="Q123" s="250"/>
      <c r="R123" s="210"/>
      <c r="S123" s="250"/>
      <c r="T123" s="250"/>
      <c r="U123" s="250"/>
      <c r="V123" s="250"/>
      <c r="W123" s="44"/>
      <c r="X123" s="44"/>
      <c r="Y123" s="53"/>
    </row>
    <row r="124" spans="1:25" s="51" customFormat="1">
      <c r="B124" s="52"/>
      <c r="C124" s="44"/>
      <c r="D124" s="54"/>
      <c r="E124" s="54"/>
      <c r="F124" s="54"/>
      <c r="G124" s="54"/>
      <c r="H124" s="54"/>
      <c r="I124" s="54"/>
      <c r="J124" s="54"/>
      <c r="K124" s="246"/>
      <c r="L124" s="246"/>
      <c r="M124" s="246"/>
      <c r="N124" s="246"/>
      <c r="O124" s="246"/>
      <c r="P124" s="246"/>
      <c r="Q124" s="250"/>
      <c r="R124" s="211"/>
      <c r="S124" s="54"/>
      <c r="T124" s="54"/>
      <c r="U124" s="54"/>
      <c r="V124" s="50"/>
      <c r="W124" s="44"/>
      <c r="X124" s="44"/>
    </row>
    <row r="125" spans="1:25">
      <c r="B125" s="56" t="s">
        <v>174</v>
      </c>
      <c r="C125" s="51"/>
      <c r="D125" s="51"/>
      <c r="E125" s="51"/>
      <c r="F125" s="51"/>
      <c r="G125" s="51"/>
      <c r="H125" s="51"/>
      <c r="I125" s="51"/>
      <c r="J125" s="51"/>
      <c r="K125" s="246"/>
      <c r="L125" s="454"/>
      <c r="M125" s="454"/>
      <c r="N125" s="454"/>
      <c r="O125" s="454"/>
      <c r="P125" s="454"/>
      <c r="R125" s="212"/>
      <c r="S125" s="51"/>
      <c r="T125" s="51"/>
      <c r="U125" s="51"/>
      <c r="V125" s="51"/>
      <c r="W125" s="51"/>
    </row>
    <row r="126" spans="1:25">
      <c r="B126" s="56"/>
      <c r="C126" s="51"/>
      <c r="D126" s="51"/>
      <c r="E126" s="51"/>
      <c r="F126" s="51"/>
      <c r="G126" s="51"/>
      <c r="H126" s="192"/>
      <c r="I126" s="51"/>
      <c r="J126" s="51"/>
      <c r="K126" s="246"/>
      <c r="L126" s="454"/>
      <c r="M126" s="454"/>
      <c r="N126" s="454"/>
      <c r="O126" s="454"/>
      <c r="P126" s="454"/>
      <c r="Q126" s="250"/>
      <c r="R126" s="212"/>
      <c r="S126" s="51"/>
      <c r="T126" s="51"/>
      <c r="U126" s="51"/>
      <c r="V126" s="51"/>
      <c r="W126" s="51"/>
    </row>
    <row r="127" spans="1:25">
      <c r="B127" s="56"/>
      <c r="C127" s="51"/>
      <c r="D127" s="51"/>
      <c r="E127" s="51"/>
      <c r="F127" s="51"/>
      <c r="G127" s="51"/>
      <c r="H127" s="51"/>
      <c r="I127" s="51"/>
      <c r="J127" s="51"/>
      <c r="K127" s="246"/>
      <c r="L127" s="454"/>
      <c r="M127" s="454"/>
      <c r="N127" s="454"/>
      <c r="O127" s="454"/>
      <c r="P127" s="454"/>
      <c r="Q127" s="250"/>
      <c r="R127" s="212"/>
      <c r="S127" s="51"/>
      <c r="T127" s="51"/>
      <c r="U127" s="51"/>
      <c r="V127" s="51"/>
      <c r="W127" s="51"/>
    </row>
    <row r="128" spans="1:25">
      <c r="B128" s="57"/>
      <c r="C128" s="51"/>
      <c r="D128" s="51"/>
      <c r="E128" s="51"/>
      <c r="F128" s="51"/>
      <c r="G128" s="51"/>
      <c r="H128" s="51"/>
      <c r="I128" s="51"/>
      <c r="J128" s="51"/>
      <c r="K128" s="246"/>
      <c r="L128" s="246"/>
      <c r="M128" s="246"/>
      <c r="N128" s="246"/>
      <c r="O128" s="246"/>
      <c r="P128" s="246"/>
      <c r="Q128" s="250"/>
      <c r="R128" s="212"/>
      <c r="S128" s="51"/>
      <c r="T128" s="51"/>
      <c r="U128" s="51"/>
      <c r="V128" s="51"/>
      <c r="W128" s="51"/>
    </row>
    <row r="129" spans="2:17">
      <c r="B129" s="58"/>
      <c r="K129" s="246"/>
      <c r="L129" s="246"/>
      <c r="M129" s="246"/>
      <c r="N129" s="246"/>
      <c r="O129" s="246"/>
      <c r="P129" s="246"/>
      <c r="Q129" s="250"/>
    </row>
    <row r="130" spans="2:17">
      <c r="K130" s="246"/>
      <c r="L130" s="379"/>
      <c r="M130" s="246"/>
      <c r="N130" s="246"/>
      <c r="O130" s="246"/>
      <c r="P130" s="246"/>
      <c r="Q130" s="250"/>
    </row>
    <row r="131" spans="2:17">
      <c r="G131" s="134"/>
      <c r="H131" s="91"/>
      <c r="K131" s="246"/>
      <c r="L131" s="246"/>
      <c r="M131" s="246"/>
      <c r="N131" s="246"/>
      <c r="O131" s="246"/>
      <c r="P131" s="246"/>
      <c r="Q131" s="250"/>
    </row>
    <row r="132" spans="2:17">
      <c r="H132" s="91"/>
      <c r="K132" s="246"/>
      <c r="L132" s="246"/>
      <c r="M132" s="246"/>
      <c r="N132" s="246"/>
      <c r="O132" s="246"/>
      <c r="P132" s="246"/>
      <c r="Q132" s="250"/>
    </row>
    <row r="133" spans="2:17">
      <c r="B133" s="24"/>
      <c r="H133" s="135"/>
      <c r="K133" s="246"/>
      <c r="L133" s="246"/>
      <c r="M133" s="246"/>
      <c r="N133" s="246"/>
      <c r="O133" s="246"/>
      <c r="P133" s="246"/>
      <c r="Q133" s="250"/>
    </row>
    <row r="134" spans="2:17">
      <c r="H134" s="135"/>
      <c r="K134" s="246"/>
      <c r="L134" s="246"/>
      <c r="M134" s="246"/>
      <c r="N134" s="246"/>
      <c r="O134" s="246"/>
      <c r="P134" s="246"/>
      <c r="Q134" s="250"/>
    </row>
    <row r="135" spans="2:17">
      <c r="H135" s="136"/>
      <c r="K135" s="246"/>
      <c r="L135" s="246"/>
      <c r="M135" s="246"/>
      <c r="N135" s="246"/>
      <c r="O135" s="246"/>
      <c r="P135" s="246"/>
      <c r="Q135" s="250"/>
    </row>
    <row r="136" spans="2:17">
      <c r="H136" s="91"/>
      <c r="K136" s="246"/>
      <c r="L136" s="246"/>
      <c r="M136" s="246"/>
      <c r="N136" s="246"/>
      <c r="O136" s="246"/>
      <c r="P136" s="246"/>
      <c r="Q136" s="250"/>
    </row>
    <row r="137" spans="2:17">
      <c r="H137" s="135"/>
      <c r="K137" s="246"/>
      <c r="L137" s="246"/>
      <c r="M137" s="246"/>
      <c r="N137" s="246"/>
      <c r="O137" s="246"/>
      <c r="P137" s="246"/>
      <c r="Q137" s="250"/>
    </row>
  </sheetData>
  <sheetProtection insertRows="0" deleteRows="0"/>
  <autoFilter ref="A5:Y114" xr:uid="{00000000-0009-0000-0000-000008000000}"/>
  <mergeCells count="54">
    <mergeCell ref="W22:W23"/>
    <mergeCell ref="R69:R95"/>
    <mergeCell ref="S69:S95"/>
    <mergeCell ref="T69:T95"/>
    <mergeCell ref="V22:V23"/>
    <mergeCell ref="R53:R67"/>
    <mergeCell ref="R38:R39"/>
    <mergeCell ref="V53:V67"/>
    <mergeCell ref="S53:S67"/>
    <mergeCell ref="T53:T67"/>
    <mergeCell ref="V69:V95"/>
    <mergeCell ref="V20:V21"/>
    <mergeCell ref="J2:P2"/>
    <mergeCell ref="W2:W4"/>
    <mergeCell ref="J3:J4"/>
    <mergeCell ref="U2:U4"/>
    <mergeCell ref="A1:W1"/>
    <mergeCell ref="A2:A4"/>
    <mergeCell ref="B2:B4"/>
    <mergeCell ref="C2:C4"/>
    <mergeCell ref="D2:E2"/>
    <mergeCell ref="F2:F4"/>
    <mergeCell ref="G2:H2"/>
    <mergeCell ref="I2:I4"/>
    <mergeCell ref="Q2:Q4"/>
    <mergeCell ref="R2:R4"/>
    <mergeCell ref="S2:S4"/>
    <mergeCell ref="T2:T4"/>
    <mergeCell ref="V2:V4"/>
    <mergeCell ref="E3:E4"/>
    <mergeCell ref="G3:G4"/>
    <mergeCell ref="H3:H4"/>
    <mergeCell ref="E123:G123"/>
    <mergeCell ref="B17:D17"/>
    <mergeCell ref="D3:D4"/>
    <mergeCell ref="U22:U23"/>
    <mergeCell ref="B74:D74"/>
    <mergeCell ref="K3:K4"/>
    <mergeCell ref="L3:P3"/>
    <mergeCell ref="B50:D50"/>
    <mergeCell ref="B51:D51"/>
    <mergeCell ref="B69:D69"/>
    <mergeCell ref="R104:R112"/>
    <mergeCell ref="R22:R23"/>
    <mergeCell ref="S22:S23"/>
    <mergeCell ref="T22:T23"/>
    <mergeCell ref="I122:K122"/>
    <mergeCell ref="B79:D79"/>
    <mergeCell ref="E122:G122"/>
    <mergeCell ref="B96:D96"/>
    <mergeCell ref="B99:D99"/>
    <mergeCell ref="B102:D102"/>
    <mergeCell ref="B103:D103"/>
    <mergeCell ref="B113:D113"/>
  </mergeCells>
  <phoneticPr fontId="30" type="noConversion"/>
  <pageMargins left="0.27559055118110237" right="0.23622047244094491" top="0.51181102362204722" bottom="0.19685039370078741" header="0.15748031496062992" footer="0.15748031496062992"/>
  <pageSetup paperSize="8" scale="49" orientation="landscape" r:id="rId1"/>
  <headerFooter alignWithMargins="0"/>
  <rowBreaks count="2" manualBreakCount="2">
    <brk id="48" max="22" man="1"/>
    <brk id="126"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Титульна сторінка</vt:lpstr>
      <vt:lpstr>7. Потужність приєднання</vt:lpstr>
      <vt:lpstr>18. Технічний стан сценарій 1</vt:lpstr>
      <vt:lpstr>18. Технічний стан сценарій (2</vt:lpstr>
      <vt:lpstr>19. Незавершене будівництво</vt:lpstr>
      <vt:lpstr>20. План інвестицій </vt:lpstr>
      <vt:lpstr>ТЕО</vt:lpstr>
      <vt:lpstr>21 Перелік заходів сценарій 1</vt:lpstr>
      <vt:lpstr>21. Перелік заходів сценарій 2</vt:lpstr>
      <vt:lpstr>ТКО</vt:lpstr>
      <vt:lpstr>'21 Перелік заходів сценарій 1'!Заголовки_для_печати</vt:lpstr>
      <vt:lpstr>'21. Перелік заходів сценарій 2'!Заголовки_для_печати</vt:lpstr>
      <vt:lpstr>'18. Технічний стан сценарій (2'!Область_печати</vt:lpstr>
      <vt:lpstr>'18. Технічний стан сценарій 1'!Область_печати</vt:lpstr>
      <vt:lpstr>'19. Незавершене будівництво'!Область_печати</vt:lpstr>
      <vt:lpstr>'20. План інвестицій '!Область_печати</vt:lpstr>
      <vt:lpstr>'21 Перелік заходів сценарій 1'!Область_печати</vt:lpstr>
      <vt:lpstr>'21. Перелік заходів сценарій 2'!Область_печати</vt:lpstr>
      <vt:lpstr>'Титульна сторінка'!Область_печати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2020-08-13T04:44:17Z</dcterms:modified>
</cp:coreProperties>
</file>